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ikaalliansen.sharepoint.com/sites/felles-pi2050/Administrasjon/Økonomi/Regnskap/Regn2023/"/>
    </mc:Choice>
  </mc:AlternateContent>
  <xr:revisionPtr revIDLastSave="143" documentId="8_{36C0CF7C-E36A-4435-A825-EB1C51D20473}" xr6:coauthVersionLast="47" xr6:coauthVersionMax="47" xr10:uidLastSave="{D1E3D21A-EDCC-4369-B044-71B9D995CF19}"/>
  <bookViews>
    <workbookView xWindow="-28920" yWindow="-60" windowWidth="29040" windowHeight="15840" activeTab="1" xr2:uid="{5DF9225B-B361-462A-820B-1395D2B910E4}"/>
  </bookViews>
  <sheets>
    <sheet name="Definsjoner" sheetId="1" r:id="rId1"/>
    <sheet name="Avsteming nøkkeltall kvartal" sheetId="2" r:id="rId2"/>
    <sheet name="Utregninger hittil i år" sheetId="4" r:id="rId3"/>
    <sheet name="Grunnlagstall" sheetId="3" r:id="rId4"/>
    <sheet name="Utregninger år samgr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2" l="1"/>
  <c r="C88" i="2"/>
  <c r="C89" i="2" s="1"/>
  <c r="C6" i="4"/>
  <c r="C7" i="4"/>
  <c r="C9" i="4"/>
  <c r="C10" i="4" s="1"/>
  <c r="C12" i="4"/>
  <c r="C13" i="4"/>
  <c r="C15" i="4"/>
  <c r="C16" i="4"/>
  <c r="C18" i="4"/>
  <c r="C19" i="4"/>
  <c r="C20" i="4"/>
  <c r="C21" i="4"/>
  <c r="C22" i="4"/>
  <c r="C24" i="4"/>
  <c r="C25" i="4"/>
  <c r="C26" i="4"/>
  <c r="C28" i="4" s="1"/>
  <c r="C27" i="4"/>
  <c r="C31" i="4"/>
  <c r="C32" i="4"/>
  <c r="C34" i="4"/>
  <c r="C36" i="4" s="1"/>
  <c r="C40" i="4" s="1"/>
  <c r="C35" i="4"/>
  <c r="C37" i="4"/>
  <c r="C38" i="4"/>
  <c r="C39" i="4" s="1"/>
  <c r="C42" i="4"/>
  <c r="C44" i="4" s="1"/>
  <c r="C43" i="4"/>
  <c r="C46" i="4"/>
  <c r="C48" i="4" s="1"/>
  <c r="C51" i="4" s="1"/>
  <c r="C47" i="4"/>
  <c r="C49" i="4"/>
  <c r="C50" i="4"/>
  <c r="C5" i="4"/>
  <c r="C5" i="2"/>
  <c r="C6" i="2"/>
  <c r="C8" i="2"/>
  <c r="C9" i="2"/>
  <c r="C11" i="2"/>
  <c r="C12" i="2"/>
  <c r="C14" i="2"/>
  <c r="C17" i="2" s="1"/>
  <c r="C21" i="2" s="1"/>
  <c r="C15" i="2"/>
  <c r="C18" i="2"/>
  <c r="C19" i="2"/>
  <c r="C20" i="2"/>
  <c r="C23" i="2"/>
  <c r="C24" i="2"/>
  <c r="C27" i="2" s="1"/>
  <c r="C25" i="2"/>
  <c r="C26" i="2"/>
  <c r="C30" i="2"/>
  <c r="C31" i="2" s="1"/>
  <c r="C33" i="2"/>
  <c r="C35" i="2" s="1"/>
  <c r="C39" i="2" s="1"/>
  <c r="C34" i="2"/>
  <c r="C36" i="2"/>
  <c r="C38" i="2" s="1"/>
  <c r="C37" i="2"/>
  <c r="C41" i="2"/>
  <c r="C43" i="2" s="1"/>
  <c r="C42" i="2"/>
  <c r="C45" i="2"/>
  <c r="C47" i="2" s="1"/>
  <c r="C46" i="2"/>
  <c r="C49" i="2"/>
  <c r="C50" i="2"/>
  <c r="C51" i="2"/>
  <c r="C53" i="2"/>
  <c r="C54" i="2"/>
  <c r="C55" i="2"/>
  <c r="C56" i="2" s="1"/>
  <c r="C58" i="2"/>
  <c r="C59" i="2"/>
  <c r="C60" i="2"/>
  <c r="C61" i="2"/>
  <c r="C63" i="2"/>
  <c r="C67" i="2" s="1"/>
  <c r="C68" i="2" s="1"/>
  <c r="C64" i="2"/>
  <c r="C65" i="2"/>
  <c r="C96" i="2" s="1"/>
  <c r="C66" i="2"/>
  <c r="C70" i="2"/>
  <c r="C71" i="2"/>
  <c r="C72" i="2"/>
  <c r="C74" i="2"/>
  <c r="C78" i="2" s="1"/>
  <c r="C92" i="2" s="1"/>
  <c r="C75" i="2"/>
  <c r="C76" i="2"/>
  <c r="C77" i="2"/>
  <c r="C80" i="2"/>
  <c r="C81" i="2"/>
  <c r="C82" i="2"/>
  <c r="C85" i="2" s="1"/>
  <c r="C83" i="2"/>
  <c r="C84" i="2"/>
  <c r="C91" i="2"/>
  <c r="C93" i="2" s="1"/>
  <c r="C95" i="2"/>
  <c r="C97" i="2" s="1"/>
  <c r="C99" i="2"/>
  <c r="C100" i="2"/>
  <c r="C101" i="2"/>
  <c r="C4" i="2"/>
  <c r="C3" i="2"/>
  <c r="C29" i="4" l="1"/>
  <c r="C28" i="2"/>
  <c r="C33" i="3" l="1"/>
  <c r="C30" i="3"/>
  <c r="C31" i="3" s="1"/>
  <c r="C32" i="3" s="1"/>
  <c r="C15" i="3"/>
  <c r="D3" i="2" l="1"/>
  <c r="D4" i="2"/>
  <c r="D5" i="2"/>
  <c r="D6" i="2"/>
  <c r="D8" i="2"/>
  <c r="D11" i="2"/>
  <c r="D14" i="2"/>
  <c r="D18" i="2"/>
  <c r="D19" i="2"/>
  <c r="D20" i="2" s="1"/>
  <c r="D23" i="2"/>
  <c r="D24" i="2"/>
  <c r="D25" i="2"/>
  <c r="D26" i="2"/>
  <c r="D30" i="2"/>
  <c r="D31" i="2" s="1"/>
  <c r="D33" i="2"/>
  <c r="D34" i="2"/>
  <c r="D81" i="2" s="1"/>
  <c r="D82" i="2" s="1"/>
  <c r="D36" i="2"/>
  <c r="D41" i="2"/>
  <c r="D42" i="2"/>
  <c r="D45" i="2"/>
  <c r="D46" i="2"/>
  <c r="D49" i="2"/>
  <c r="D58" i="2" s="1"/>
  <c r="D60" i="2" s="1"/>
  <c r="D61" i="2" s="1"/>
  <c r="D50" i="2"/>
  <c r="D53" i="2"/>
  <c r="D54" i="2"/>
  <c r="D59" i="2"/>
  <c r="D63" i="2"/>
  <c r="D64" i="2"/>
  <c r="D65" i="2"/>
  <c r="D96" i="2" s="1"/>
  <c r="D97" i="2" s="1"/>
  <c r="D66" i="2"/>
  <c r="D70" i="2"/>
  <c r="D71" i="2"/>
  <c r="D72" i="2" s="1"/>
  <c r="D74" i="2"/>
  <c r="D76" i="2"/>
  <c r="D83" i="2" s="1"/>
  <c r="D49" i="4" s="1"/>
  <c r="D80" i="2"/>
  <c r="D87" i="2"/>
  <c r="D91" i="2"/>
  <c r="D95" i="2"/>
  <c r="D99" i="2"/>
  <c r="D100" i="2"/>
  <c r="D101" i="2" s="1"/>
  <c r="D12" i="4"/>
  <c r="D15" i="4"/>
  <c r="D16" i="4" s="1"/>
  <c r="D18" i="4"/>
  <c r="D19" i="4"/>
  <c r="D20" i="4"/>
  <c r="D21" i="4"/>
  <c r="D24" i="4"/>
  <c r="D25" i="4"/>
  <c r="D26" i="4"/>
  <c r="D27" i="4"/>
  <c r="D28" i="4" s="1"/>
  <c r="D31" i="4"/>
  <c r="D34" i="4"/>
  <c r="D37" i="4"/>
  <c r="D42" i="4"/>
  <c r="D43" i="4"/>
  <c r="D46" i="4"/>
  <c r="D9" i="4"/>
  <c r="D5" i="4"/>
  <c r="D6" i="4"/>
  <c r="D32" i="4" s="1"/>
  <c r="D7" i="4"/>
  <c r="D56" i="3"/>
  <c r="D35" i="4" s="1"/>
  <c r="D22" i="4" l="1"/>
  <c r="D47" i="2"/>
  <c r="D44" i="4"/>
  <c r="D15" i="2"/>
  <c r="D43" i="2"/>
  <c r="D36" i="4"/>
  <c r="D29" i="4"/>
  <c r="D10" i="4"/>
  <c r="D47" i="4"/>
  <c r="D48" i="4" s="1"/>
  <c r="D51" i="2"/>
  <c r="D27" i="2"/>
  <c r="D28" i="2" s="1"/>
  <c r="D13" i="4"/>
  <c r="D55" i="2"/>
  <c r="D56" i="2" s="1"/>
  <c r="D35" i="2"/>
  <c r="D67" i="2"/>
  <c r="D68" i="2" s="1"/>
  <c r="D12" i="2"/>
  <c r="D9" i="2"/>
  <c r="D17" i="2"/>
  <c r="D21" i="2" s="1"/>
  <c r="E4" i="2" l="1"/>
  <c r="E3" i="2"/>
  <c r="E5" i="2"/>
  <c r="E6" i="2"/>
  <c r="E46" i="2" s="1"/>
  <c r="E8" i="2"/>
  <c r="E9" i="2" s="1"/>
  <c r="E11" i="2"/>
  <c r="E14" i="2"/>
  <c r="E17" i="2"/>
  <c r="E18" i="2"/>
  <c r="E19" i="2"/>
  <c r="E23" i="2"/>
  <c r="E24" i="2"/>
  <c r="E25" i="2"/>
  <c r="E26" i="2"/>
  <c r="E30" i="2"/>
  <c r="E33" i="2"/>
  <c r="E34" i="2"/>
  <c r="E81" i="2" s="1"/>
  <c r="E36" i="2"/>
  <c r="E41" i="2"/>
  <c r="E42" i="2"/>
  <c r="E45" i="2"/>
  <c r="E95" i="2" s="1"/>
  <c r="E49" i="2"/>
  <c r="E58" i="2" s="1"/>
  <c r="E50" i="2"/>
  <c r="E53" i="2" s="1"/>
  <c r="E54" i="2"/>
  <c r="E59" i="2"/>
  <c r="E63" i="2"/>
  <c r="E64" i="2"/>
  <c r="E65" i="2"/>
  <c r="E96" i="2" s="1"/>
  <c r="E66" i="2"/>
  <c r="E70" i="2"/>
  <c r="E72" i="2" s="1"/>
  <c r="E71" i="2"/>
  <c r="E74" i="2"/>
  <c r="E76" i="2"/>
  <c r="E83" i="2" s="1"/>
  <c r="E49" i="4" s="1"/>
  <c r="E80" i="2"/>
  <c r="E87" i="2"/>
  <c r="E91" i="2" s="1"/>
  <c r="E99" i="2"/>
  <c r="E100" i="2"/>
  <c r="E12" i="4"/>
  <c r="E15" i="4"/>
  <c r="E18" i="4"/>
  <c r="E19" i="4"/>
  <c r="E20" i="4"/>
  <c r="E24" i="4"/>
  <c r="E25" i="4"/>
  <c r="E26" i="4"/>
  <c r="E27" i="4"/>
  <c r="E31" i="4"/>
  <c r="E34" i="4"/>
  <c r="E35" i="4"/>
  <c r="E37" i="4"/>
  <c r="E42" i="4"/>
  <c r="E43" i="4"/>
  <c r="E46" i="4"/>
  <c r="E47" i="4"/>
  <c r="E48" i="4"/>
  <c r="E9" i="4"/>
  <c r="E6" i="4"/>
  <c r="E7" i="4"/>
  <c r="E5" i="4"/>
  <c r="E36" i="4" l="1"/>
  <c r="E21" i="4"/>
  <c r="E20" i="2"/>
  <c r="E82" i="2"/>
  <c r="E12" i="2"/>
  <c r="E60" i="2"/>
  <c r="E61" i="2" s="1"/>
  <c r="E32" i="4"/>
  <c r="E16" i="4"/>
  <c r="E44" i="4"/>
  <c r="E55" i="2"/>
  <c r="E56" i="2" s="1"/>
  <c r="E101" i="2"/>
  <c r="E31" i="2"/>
  <c r="E21" i="2"/>
  <c r="E22" i="4"/>
  <c r="E97" i="2"/>
  <c r="E15" i="2"/>
  <c r="E43" i="2"/>
  <c r="E67" i="2"/>
  <c r="E68" i="2" s="1"/>
  <c r="E27" i="2"/>
  <c r="E28" i="2" s="1"/>
  <c r="E13" i="4"/>
  <c r="E10" i="4"/>
  <c r="E35" i="2"/>
  <c r="E47" i="2"/>
  <c r="E51" i="2"/>
  <c r="E28" i="4"/>
  <c r="E29" i="4" s="1"/>
  <c r="F37" i="4" l="1"/>
  <c r="E30" i="5"/>
  <c r="E26" i="5"/>
  <c r="D26" i="5"/>
  <c r="E25" i="5"/>
  <c r="E31" i="5" s="1"/>
  <c r="E32" i="5" s="1"/>
  <c r="D25" i="5"/>
  <c r="D31" i="5" s="1"/>
  <c r="D32" i="5" s="1"/>
  <c r="C25" i="5"/>
  <c r="C31" i="5" s="1"/>
  <c r="E23" i="5"/>
  <c r="E22" i="5"/>
  <c r="E15" i="5"/>
  <c r="E12" i="5"/>
  <c r="E9" i="5"/>
  <c r="E6" i="5"/>
  <c r="D6" i="5"/>
  <c r="D20" i="5" s="1"/>
  <c r="C6" i="5"/>
  <c r="D30" i="5"/>
  <c r="C30" i="5"/>
  <c r="C23" i="5"/>
  <c r="D22" i="5"/>
  <c r="C22" i="5"/>
  <c r="A22" i="5"/>
  <c r="E19" i="5"/>
  <c r="E20" i="5" s="1"/>
  <c r="D19" i="5"/>
  <c r="C19" i="5"/>
  <c r="A19" i="5"/>
  <c r="D15" i="5"/>
  <c r="C15" i="5"/>
  <c r="D12" i="5"/>
  <c r="C12" i="5"/>
  <c r="C13" i="5" s="1"/>
  <c r="D9" i="5"/>
  <c r="D10" i="5" s="1"/>
  <c r="C9" i="5"/>
  <c r="E7" i="5"/>
  <c r="D7" i="5"/>
  <c r="C7" i="5"/>
  <c r="D5" i="5"/>
  <c r="F12" i="4"/>
  <c r="F15" i="4"/>
  <c r="F18" i="4"/>
  <c r="F19" i="4"/>
  <c r="F20" i="4"/>
  <c r="F24" i="4"/>
  <c r="F25" i="4"/>
  <c r="F26" i="4"/>
  <c r="F27" i="4"/>
  <c r="F31" i="4"/>
  <c r="F34" i="4"/>
  <c r="F35" i="4"/>
  <c r="F42" i="4"/>
  <c r="F43" i="4"/>
  <c r="F46" i="4"/>
  <c r="F47" i="4"/>
  <c r="F9" i="4"/>
  <c r="F6" i="4"/>
  <c r="F7" i="4"/>
  <c r="F99" i="2"/>
  <c r="F100" i="2"/>
  <c r="F80" i="2"/>
  <c r="F87" i="2"/>
  <c r="F91" i="2" s="1"/>
  <c r="F74" i="2"/>
  <c r="F70" i="2"/>
  <c r="F71" i="2"/>
  <c r="F63" i="2"/>
  <c r="F64" i="2"/>
  <c r="F65" i="2"/>
  <c r="F96" i="2" s="1"/>
  <c r="F66" i="2"/>
  <c r="F54" i="2"/>
  <c r="F59" i="2"/>
  <c r="F45" i="2"/>
  <c r="F49" i="2"/>
  <c r="F50" i="2"/>
  <c r="F53" i="2" s="1"/>
  <c r="F33" i="2"/>
  <c r="F36" i="2"/>
  <c r="F41" i="2"/>
  <c r="F42" i="2"/>
  <c r="F30" i="2"/>
  <c r="F23" i="2"/>
  <c r="F24" i="2"/>
  <c r="F25" i="2"/>
  <c r="F26" i="2"/>
  <c r="F14" i="2"/>
  <c r="F17" i="2" s="1"/>
  <c r="F18" i="2"/>
  <c r="F19" i="2"/>
  <c r="F11" i="2"/>
  <c r="F8" i="2"/>
  <c r="F5" i="2"/>
  <c r="F6" i="2"/>
  <c r="F46" i="2" s="1"/>
  <c r="F4" i="2"/>
  <c r="F3" i="2"/>
  <c r="E24" i="5"/>
  <c r="E16" i="5"/>
  <c r="F33" i="3"/>
  <c r="E33" i="3" s="1"/>
  <c r="F30" i="3"/>
  <c r="F15" i="3"/>
  <c r="F34" i="2" s="1"/>
  <c r="F81" i="2" s="1"/>
  <c r="F82" i="2" s="1"/>
  <c r="J37" i="2"/>
  <c r="A37" i="2"/>
  <c r="J38" i="4"/>
  <c r="L31" i="3"/>
  <c r="L32" i="3" s="1"/>
  <c r="L38" i="4" s="1"/>
  <c r="M31" i="3"/>
  <c r="M32" i="3" s="1"/>
  <c r="K31" i="3"/>
  <c r="K37" i="2" s="1"/>
  <c r="G31" i="3"/>
  <c r="G32" i="3" s="1"/>
  <c r="G38" i="4" s="1"/>
  <c r="H31" i="3"/>
  <c r="H37" i="2" s="1"/>
  <c r="I31" i="3"/>
  <c r="I32" i="3" s="1"/>
  <c r="I38" i="4" s="1"/>
  <c r="I37" i="2"/>
  <c r="C16" i="5"/>
  <c r="C20" i="5"/>
  <c r="C10" i="5"/>
  <c r="G37" i="2"/>
  <c r="G87" i="2"/>
  <c r="G91" i="2" s="1"/>
  <c r="H43" i="3"/>
  <c r="I43" i="3"/>
  <c r="J43" i="3"/>
  <c r="K43" i="3"/>
  <c r="L43" i="3"/>
  <c r="M43" i="3"/>
  <c r="G43" i="3"/>
  <c r="H42" i="2"/>
  <c r="I42" i="2"/>
  <c r="J42" i="2"/>
  <c r="K42" i="2"/>
  <c r="L42" i="2"/>
  <c r="G42" i="2"/>
  <c r="H87" i="2"/>
  <c r="H91" i="2" s="1"/>
  <c r="I87" i="2"/>
  <c r="J87" i="2"/>
  <c r="J91" i="2" s="1"/>
  <c r="K87" i="2"/>
  <c r="K91" i="2" s="1"/>
  <c r="L87" i="2"/>
  <c r="L91" i="2" s="1"/>
  <c r="I55" i="3"/>
  <c r="H55" i="3" s="1"/>
  <c r="M55" i="3"/>
  <c r="L55" i="3" s="1"/>
  <c r="I56" i="3"/>
  <c r="H56" i="3" s="1"/>
  <c r="M56" i="3"/>
  <c r="L56" i="3" s="1"/>
  <c r="H46" i="4"/>
  <c r="I46" i="4"/>
  <c r="J46" i="4"/>
  <c r="K46" i="4"/>
  <c r="L46" i="4"/>
  <c r="G46" i="4"/>
  <c r="H43" i="4"/>
  <c r="I43" i="4"/>
  <c r="J43" i="4"/>
  <c r="K43" i="4"/>
  <c r="L43" i="4"/>
  <c r="G43" i="4"/>
  <c r="H42" i="4"/>
  <c r="I42" i="4"/>
  <c r="J42" i="4"/>
  <c r="K42" i="4"/>
  <c r="L42" i="4"/>
  <c r="G42" i="4"/>
  <c r="H37" i="4"/>
  <c r="I37" i="4"/>
  <c r="J37" i="4"/>
  <c r="K37" i="4"/>
  <c r="L37" i="4"/>
  <c r="G37" i="4"/>
  <c r="H34" i="4"/>
  <c r="I34" i="4"/>
  <c r="J34" i="4"/>
  <c r="K34" i="4"/>
  <c r="L34" i="4"/>
  <c r="G34" i="4"/>
  <c r="H31" i="4"/>
  <c r="I31" i="4"/>
  <c r="J31" i="4"/>
  <c r="K31" i="4"/>
  <c r="L31" i="4"/>
  <c r="G31" i="4"/>
  <c r="H26" i="2"/>
  <c r="I26" i="2"/>
  <c r="J26" i="2"/>
  <c r="K26" i="2"/>
  <c r="L26" i="2"/>
  <c r="H24" i="4"/>
  <c r="I24" i="4"/>
  <c r="J24" i="4"/>
  <c r="K24" i="4"/>
  <c r="L24" i="4"/>
  <c r="H25" i="4"/>
  <c r="I25" i="4"/>
  <c r="J25" i="4"/>
  <c r="K25" i="4"/>
  <c r="L25" i="4"/>
  <c r="H26" i="4"/>
  <c r="I26" i="4"/>
  <c r="J26" i="4"/>
  <c r="K26" i="4"/>
  <c r="L26" i="4"/>
  <c r="G26" i="4"/>
  <c r="G25" i="4"/>
  <c r="G24" i="4"/>
  <c r="J5" i="4"/>
  <c r="K5" i="4"/>
  <c r="L5" i="4"/>
  <c r="H18" i="4"/>
  <c r="I18" i="4"/>
  <c r="J18" i="4"/>
  <c r="K18" i="4"/>
  <c r="L18" i="4"/>
  <c r="H19" i="4"/>
  <c r="I19" i="4"/>
  <c r="J19" i="4"/>
  <c r="K19" i="4"/>
  <c r="L19" i="4"/>
  <c r="H20" i="4"/>
  <c r="I20" i="4"/>
  <c r="J20" i="4"/>
  <c r="K20" i="4"/>
  <c r="L20" i="4"/>
  <c r="G20" i="4"/>
  <c r="G19" i="4"/>
  <c r="G18" i="4"/>
  <c r="H15" i="4"/>
  <c r="I15" i="4"/>
  <c r="J15" i="4"/>
  <c r="K15" i="4"/>
  <c r="L15" i="4"/>
  <c r="G15" i="4"/>
  <c r="H12" i="4"/>
  <c r="I12" i="4"/>
  <c r="J12" i="4"/>
  <c r="K12" i="4"/>
  <c r="L12" i="4"/>
  <c r="G12" i="4"/>
  <c r="H9" i="4"/>
  <c r="I9" i="4"/>
  <c r="J9" i="4"/>
  <c r="K9" i="4"/>
  <c r="L9" i="4"/>
  <c r="G9" i="4"/>
  <c r="H6" i="4"/>
  <c r="I6" i="4"/>
  <c r="J6" i="4"/>
  <c r="K6" i="4"/>
  <c r="L6" i="4"/>
  <c r="G6" i="4"/>
  <c r="H36" i="2"/>
  <c r="I36" i="2"/>
  <c r="J36" i="2"/>
  <c r="K36" i="2"/>
  <c r="L36" i="2"/>
  <c r="G36" i="2"/>
  <c r="H66" i="2"/>
  <c r="I66" i="2"/>
  <c r="J66" i="2"/>
  <c r="K66" i="2"/>
  <c r="L66" i="2"/>
  <c r="G66" i="2"/>
  <c r="H64" i="2"/>
  <c r="I64" i="2"/>
  <c r="J64" i="2"/>
  <c r="K64" i="2"/>
  <c r="L64" i="2"/>
  <c r="G64" i="2"/>
  <c r="H59" i="2"/>
  <c r="I59" i="2"/>
  <c r="J59" i="2"/>
  <c r="K59" i="2"/>
  <c r="L59" i="2"/>
  <c r="G59" i="2"/>
  <c r="H54" i="2"/>
  <c r="I54" i="2"/>
  <c r="J54" i="2"/>
  <c r="K54" i="2"/>
  <c r="L54" i="2"/>
  <c r="G54" i="2"/>
  <c r="A34" i="4"/>
  <c r="A31" i="4"/>
  <c r="A27" i="4"/>
  <c r="B20" i="4"/>
  <c r="L7" i="4"/>
  <c r="K7" i="4"/>
  <c r="J7" i="4"/>
  <c r="I7" i="4"/>
  <c r="H7" i="4"/>
  <c r="G7" i="4"/>
  <c r="I5" i="4"/>
  <c r="H99" i="2"/>
  <c r="I99" i="2"/>
  <c r="J99" i="2"/>
  <c r="K99" i="2"/>
  <c r="L99" i="2"/>
  <c r="H100" i="2"/>
  <c r="I100" i="2"/>
  <c r="J100" i="2"/>
  <c r="K100" i="2"/>
  <c r="L100" i="2"/>
  <c r="G100" i="2"/>
  <c r="G99" i="2"/>
  <c r="A100" i="2"/>
  <c r="A99" i="2"/>
  <c r="A96" i="2"/>
  <c r="A95" i="2"/>
  <c r="A92" i="2"/>
  <c r="A91" i="2"/>
  <c r="H80" i="2"/>
  <c r="I80" i="2"/>
  <c r="J80" i="2"/>
  <c r="K80" i="2"/>
  <c r="L80" i="2"/>
  <c r="B81" i="2"/>
  <c r="A82" i="2"/>
  <c r="A81" i="2"/>
  <c r="G80" i="2"/>
  <c r="A80" i="2"/>
  <c r="H77" i="2"/>
  <c r="H84" i="2" s="1"/>
  <c r="H50" i="4" s="1"/>
  <c r="I77" i="2"/>
  <c r="I84" i="2" s="1"/>
  <c r="I50" i="4" s="1"/>
  <c r="J77" i="2"/>
  <c r="J84" i="2" s="1"/>
  <c r="J50" i="4" s="1"/>
  <c r="K77" i="2"/>
  <c r="K84" i="2" s="1"/>
  <c r="K50" i="4" s="1"/>
  <c r="L77" i="2"/>
  <c r="L84" i="2"/>
  <c r="L50" i="4" s="1"/>
  <c r="G77" i="2"/>
  <c r="G84" i="2" s="1"/>
  <c r="G50" i="4" s="1"/>
  <c r="H74" i="2"/>
  <c r="I74" i="2"/>
  <c r="J74" i="2"/>
  <c r="K74" i="2"/>
  <c r="L74" i="2"/>
  <c r="H75" i="2"/>
  <c r="I75" i="2"/>
  <c r="J75" i="2"/>
  <c r="K75" i="2"/>
  <c r="L75" i="2"/>
  <c r="H76" i="2"/>
  <c r="H83" i="2" s="1"/>
  <c r="H49" i="4" s="1"/>
  <c r="I76" i="2"/>
  <c r="I83" i="2" s="1"/>
  <c r="I49" i="4" s="1"/>
  <c r="J76" i="2"/>
  <c r="J83" i="2" s="1"/>
  <c r="J49" i="4" s="1"/>
  <c r="K76" i="2"/>
  <c r="K83" i="2" s="1"/>
  <c r="K49" i="4" s="1"/>
  <c r="L76" i="2"/>
  <c r="L83" i="2" s="1"/>
  <c r="L49" i="4" s="1"/>
  <c r="G75" i="2"/>
  <c r="G74" i="2"/>
  <c r="A74" i="2"/>
  <c r="H70" i="2"/>
  <c r="I70" i="2"/>
  <c r="J70" i="2"/>
  <c r="K70" i="2"/>
  <c r="K72" i="2" s="1"/>
  <c r="L70" i="2"/>
  <c r="H71" i="2"/>
  <c r="I71" i="2"/>
  <c r="J71" i="2"/>
  <c r="K71" i="2"/>
  <c r="L71" i="2"/>
  <c r="G71" i="2"/>
  <c r="G70" i="2"/>
  <c r="G72" i="2" s="1"/>
  <c r="A71" i="2"/>
  <c r="A70" i="2"/>
  <c r="H63" i="2"/>
  <c r="I63" i="2"/>
  <c r="J63" i="2"/>
  <c r="K63" i="2"/>
  <c r="L63" i="2"/>
  <c r="G63" i="2"/>
  <c r="H65" i="2"/>
  <c r="H96" i="2" s="1"/>
  <c r="I65" i="2"/>
  <c r="I96" i="2" s="1"/>
  <c r="J65" i="2"/>
  <c r="J96" i="2" s="1"/>
  <c r="K65" i="2"/>
  <c r="K96" i="2" s="1"/>
  <c r="L65" i="2"/>
  <c r="L96" i="2" s="1"/>
  <c r="G65" i="2"/>
  <c r="G96" i="2" s="1"/>
  <c r="H49" i="2"/>
  <c r="I49" i="2"/>
  <c r="I58" i="2"/>
  <c r="I60" i="2" s="1"/>
  <c r="I61" i="2" s="1"/>
  <c r="J49" i="2"/>
  <c r="K49" i="2"/>
  <c r="K58" i="2" s="1"/>
  <c r="K60" i="2" s="1"/>
  <c r="K61" i="2" s="1"/>
  <c r="L49" i="2"/>
  <c r="H50" i="2"/>
  <c r="H53" i="2" s="1"/>
  <c r="H55" i="2" s="1"/>
  <c r="H56" i="2" s="1"/>
  <c r="I50" i="2"/>
  <c r="I53" i="2" s="1"/>
  <c r="I55" i="2" s="1"/>
  <c r="I56" i="2" s="1"/>
  <c r="J50" i="2"/>
  <c r="K50" i="2"/>
  <c r="K53" i="2" s="1"/>
  <c r="L50" i="2"/>
  <c r="L53" i="2" s="1"/>
  <c r="G50" i="2"/>
  <c r="G53" i="2" s="1"/>
  <c r="G55" i="2" s="1"/>
  <c r="G56" i="2" s="1"/>
  <c r="G49" i="2"/>
  <c r="H45" i="2"/>
  <c r="H95" i="2" s="1"/>
  <c r="I45" i="2"/>
  <c r="I95" i="2" s="1"/>
  <c r="J45" i="2"/>
  <c r="J95" i="2" s="1"/>
  <c r="K45" i="2"/>
  <c r="K95" i="2" s="1"/>
  <c r="L45" i="2"/>
  <c r="L95" i="2" s="1"/>
  <c r="L97" i="2" s="1"/>
  <c r="G45" i="2"/>
  <c r="G95" i="2" s="1"/>
  <c r="H41" i="2"/>
  <c r="I41" i="2"/>
  <c r="J41" i="2"/>
  <c r="K41" i="2"/>
  <c r="L41" i="2"/>
  <c r="G41" i="2"/>
  <c r="H33" i="2"/>
  <c r="H35" i="2" s="1"/>
  <c r="I33" i="2"/>
  <c r="I35" i="2" s="1"/>
  <c r="J33" i="2"/>
  <c r="K33" i="2"/>
  <c r="L33" i="2"/>
  <c r="H34" i="2"/>
  <c r="H81" i="2" s="1"/>
  <c r="I34" i="2"/>
  <c r="I81" i="2" s="1"/>
  <c r="J34" i="2"/>
  <c r="J81" i="2" s="1"/>
  <c r="K34" i="2"/>
  <c r="K81" i="2" s="1"/>
  <c r="L34" i="2"/>
  <c r="L35" i="2" s="1"/>
  <c r="G38" i="2"/>
  <c r="G34" i="2"/>
  <c r="G81" i="2" s="1"/>
  <c r="G33" i="2"/>
  <c r="A33" i="2"/>
  <c r="H30" i="2"/>
  <c r="I30" i="2"/>
  <c r="J30" i="2"/>
  <c r="K30" i="2"/>
  <c r="L30" i="2"/>
  <c r="G30" i="2"/>
  <c r="A30" i="2"/>
  <c r="H25" i="2"/>
  <c r="I25" i="2"/>
  <c r="J25" i="2"/>
  <c r="K25" i="2"/>
  <c r="L25" i="2"/>
  <c r="H24" i="2"/>
  <c r="I24" i="2"/>
  <c r="J24" i="2"/>
  <c r="K24" i="2"/>
  <c r="L24" i="2"/>
  <c r="H23" i="2"/>
  <c r="I23" i="2"/>
  <c r="J23" i="2"/>
  <c r="K23" i="2"/>
  <c r="L23" i="2"/>
  <c r="B19" i="2"/>
  <c r="G25" i="2"/>
  <c r="G24" i="2"/>
  <c r="G26" i="2"/>
  <c r="A26" i="2"/>
  <c r="G23" i="2"/>
  <c r="H6" i="2"/>
  <c r="H46" i="2" s="1"/>
  <c r="I6" i="2"/>
  <c r="I46" i="2" s="1"/>
  <c r="I47" i="2" s="1"/>
  <c r="J6" i="2"/>
  <c r="J46" i="2" s="1"/>
  <c r="J47" i="2" s="1"/>
  <c r="K6" i="2"/>
  <c r="K46" i="2" s="1"/>
  <c r="L6" i="2"/>
  <c r="L46" i="2" s="1"/>
  <c r="G6" i="2"/>
  <c r="G46" i="2" s="1"/>
  <c r="H18" i="2"/>
  <c r="H20" i="2" s="1"/>
  <c r="I18" i="2"/>
  <c r="J18" i="2"/>
  <c r="K18" i="2"/>
  <c r="L18" i="2"/>
  <c r="H19" i="2"/>
  <c r="I19" i="2"/>
  <c r="J19" i="2"/>
  <c r="K19" i="2"/>
  <c r="L19" i="2"/>
  <c r="G19" i="2"/>
  <c r="G18" i="2"/>
  <c r="H14" i="2"/>
  <c r="H17" i="2" s="1"/>
  <c r="I14" i="2"/>
  <c r="I17" i="2" s="1"/>
  <c r="J14" i="2"/>
  <c r="K14" i="2"/>
  <c r="K17" i="2" s="1"/>
  <c r="L14" i="2"/>
  <c r="L17" i="2" s="1"/>
  <c r="H11" i="2"/>
  <c r="I11" i="2"/>
  <c r="J11" i="2"/>
  <c r="K11" i="2"/>
  <c r="L11" i="2"/>
  <c r="L4" i="2"/>
  <c r="K4" i="2"/>
  <c r="J4" i="2"/>
  <c r="I4" i="2"/>
  <c r="H4" i="2"/>
  <c r="H8" i="2"/>
  <c r="I8" i="2"/>
  <c r="J8" i="2"/>
  <c r="K8" i="2"/>
  <c r="L8" i="2"/>
  <c r="H3" i="2"/>
  <c r="I3" i="2"/>
  <c r="J3" i="2"/>
  <c r="K3" i="2"/>
  <c r="L3" i="2"/>
  <c r="G3" i="2"/>
  <c r="H5" i="2"/>
  <c r="I5" i="2"/>
  <c r="J5" i="2"/>
  <c r="K5" i="2"/>
  <c r="L5" i="2"/>
  <c r="G14" i="2"/>
  <c r="G17" i="2" s="1"/>
  <c r="G11" i="2"/>
  <c r="G4" i="2"/>
  <c r="G8" i="2"/>
  <c r="J53" i="2"/>
  <c r="L20" i="2"/>
  <c r="G5" i="2"/>
  <c r="G34" i="3"/>
  <c r="F34" i="3" s="1"/>
  <c r="F76" i="2" s="1"/>
  <c r="F83" i="2" s="1"/>
  <c r="F49" i="4" s="1"/>
  <c r="G21" i="4" l="1"/>
  <c r="G22" i="4" s="1"/>
  <c r="H12" i="2"/>
  <c r="G51" i="2"/>
  <c r="J38" i="2"/>
  <c r="K27" i="2"/>
  <c r="K28" i="2" s="1"/>
  <c r="K55" i="2"/>
  <c r="K56" i="2" s="1"/>
  <c r="J72" i="2"/>
  <c r="L9" i="2"/>
  <c r="H27" i="2"/>
  <c r="I72" i="2"/>
  <c r="K101" i="2"/>
  <c r="K44" i="4"/>
  <c r="H47" i="2"/>
  <c r="K31" i="2"/>
  <c r="I15" i="2"/>
  <c r="H9" i="2"/>
  <c r="L10" i="4"/>
  <c r="G39" i="4"/>
  <c r="E77" i="2"/>
  <c r="E84" i="2" s="1"/>
  <c r="E50" i="4" s="1"/>
  <c r="E51" i="4" s="1"/>
  <c r="E88" i="2" s="1"/>
  <c r="E89" i="2" s="1"/>
  <c r="D33" i="3"/>
  <c r="D77" i="2" s="1"/>
  <c r="D84" i="2" s="1"/>
  <c r="K10" i="4"/>
  <c r="L39" i="4"/>
  <c r="F28" i="4"/>
  <c r="F29" i="4" s="1"/>
  <c r="E10" i="5"/>
  <c r="D27" i="5"/>
  <c r="E13" i="5"/>
  <c r="G35" i="2"/>
  <c r="G39" i="2" s="1"/>
  <c r="L21" i="4"/>
  <c r="L22" i="4" s="1"/>
  <c r="G101" i="2"/>
  <c r="E27" i="5"/>
  <c r="E28" i="5" s="1"/>
  <c r="K82" i="2"/>
  <c r="K85" i="2" s="1"/>
  <c r="F101" i="2"/>
  <c r="I20" i="2"/>
  <c r="F51" i="2"/>
  <c r="K51" i="2"/>
  <c r="K47" i="2"/>
  <c r="G67" i="2"/>
  <c r="G68" i="2" s="1"/>
  <c r="F47" i="2"/>
  <c r="L15" i="2"/>
  <c r="G43" i="2"/>
  <c r="G58" i="2"/>
  <c r="G60" i="2" s="1"/>
  <c r="G61" i="2" s="1"/>
  <c r="K12" i="2"/>
  <c r="K15" i="2"/>
  <c r="I43" i="2"/>
  <c r="I38" i="2"/>
  <c r="I39" i="2" s="1"/>
  <c r="J20" i="2"/>
  <c r="J67" i="2"/>
  <c r="J68" i="2" s="1"/>
  <c r="F67" i="2"/>
  <c r="F68" i="2" s="1"/>
  <c r="J39" i="4"/>
  <c r="E85" i="2"/>
  <c r="H15" i="2"/>
  <c r="H5" i="4"/>
  <c r="G5" i="4" s="1"/>
  <c r="G44" i="4" s="1"/>
  <c r="I101" i="2"/>
  <c r="H21" i="4"/>
  <c r="H22" i="4" s="1"/>
  <c r="K43" i="2"/>
  <c r="F58" i="2"/>
  <c r="F60" i="2" s="1"/>
  <c r="F61" i="2" s="1"/>
  <c r="F77" i="2"/>
  <c r="F84" i="2" s="1"/>
  <c r="F50" i="4" s="1"/>
  <c r="G76" i="2"/>
  <c r="G83" i="2" s="1"/>
  <c r="G49" i="4" s="1"/>
  <c r="K9" i="2"/>
  <c r="H31" i="2"/>
  <c r="J35" i="2"/>
  <c r="J39" i="2" s="1"/>
  <c r="L78" i="2"/>
  <c r="L92" i="2" s="1"/>
  <c r="L93" i="2" s="1"/>
  <c r="I44" i="4"/>
  <c r="I16" i="4"/>
  <c r="I21" i="4"/>
  <c r="I22" i="4" s="1"/>
  <c r="J16" i="4"/>
  <c r="D13" i="5"/>
  <c r="D16" i="5"/>
  <c r="C24" i="5"/>
  <c r="C28" i="5" s="1"/>
  <c r="H43" i="2"/>
  <c r="J43" i="2"/>
  <c r="L43" i="2"/>
  <c r="L55" i="2"/>
  <c r="L56" i="2" s="1"/>
  <c r="H101" i="2"/>
  <c r="I27" i="4"/>
  <c r="I28" i="4" s="1"/>
  <c r="I29" i="4" s="1"/>
  <c r="G78" i="2"/>
  <c r="G92" i="2" s="1"/>
  <c r="G93" i="2" s="1"/>
  <c r="L101" i="2"/>
  <c r="L32" i="4"/>
  <c r="J10" i="4"/>
  <c r="K21" i="4"/>
  <c r="K22" i="4" s="1"/>
  <c r="F12" i="2"/>
  <c r="L81" i="2"/>
  <c r="L82" i="2" s="1"/>
  <c r="L85" i="2" s="1"/>
  <c r="I97" i="2"/>
  <c r="H97" i="2"/>
  <c r="L72" i="2"/>
  <c r="J21" i="4"/>
  <c r="J22" i="4" s="1"/>
  <c r="K38" i="2"/>
  <c r="C26" i="5"/>
  <c r="C27" i="5" s="1"/>
  <c r="E30" i="3"/>
  <c r="D30" i="3" s="1"/>
  <c r="C32" i="5"/>
  <c r="G55" i="3"/>
  <c r="G27" i="4" s="1"/>
  <c r="G28" i="4" s="1"/>
  <c r="G29" i="4" s="1"/>
  <c r="H27" i="4"/>
  <c r="H28" i="4" s="1"/>
  <c r="H29" i="4" s="1"/>
  <c r="K55" i="3"/>
  <c r="L27" i="4"/>
  <c r="L28" i="4" s="1"/>
  <c r="L29" i="4" s="1"/>
  <c r="L35" i="4"/>
  <c r="L36" i="4" s="1"/>
  <c r="L40" i="4" s="1"/>
  <c r="L47" i="4"/>
  <c r="L48" i="4" s="1"/>
  <c r="L51" i="4" s="1"/>
  <c r="L88" i="2" s="1"/>
  <c r="L89" i="2" s="1"/>
  <c r="K56" i="3"/>
  <c r="H47" i="4"/>
  <c r="H48" i="4" s="1"/>
  <c r="H51" i="4" s="1"/>
  <c r="H88" i="2" s="1"/>
  <c r="H89" i="2" s="1"/>
  <c r="G56" i="3"/>
  <c r="H35" i="4"/>
  <c r="H36" i="4" s="1"/>
  <c r="I21" i="2"/>
  <c r="J55" i="2"/>
  <c r="J56" i="2" s="1"/>
  <c r="G20" i="2"/>
  <c r="G21" i="2" s="1"/>
  <c r="K20" i="2"/>
  <c r="K21" i="2" s="1"/>
  <c r="K97" i="2"/>
  <c r="L51" i="2"/>
  <c r="G82" i="2"/>
  <c r="G85" i="2" s="1"/>
  <c r="H82" i="2"/>
  <c r="H85" i="2" s="1"/>
  <c r="K13" i="4"/>
  <c r="L37" i="2"/>
  <c r="L38" i="2" s="1"/>
  <c r="L39" i="2" s="1"/>
  <c r="F35" i="2"/>
  <c r="F21" i="4"/>
  <c r="F22" i="4" s="1"/>
  <c r="L21" i="2"/>
  <c r="G9" i="2"/>
  <c r="G12" i="2"/>
  <c r="J9" i="2"/>
  <c r="L31" i="2"/>
  <c r="G27" i="2"/>
  <c r="G28" i="2" s="1"/>
  <c r="L67" i="2"/>
  <c r="L68" i="2" s="1"/>
  <c r="H38" i="2"/>
  <c r="H39" i="2" s="1"/>
  <c r="I35" i="4"/>
  <c r="I36" i="4" s="1"/>
  <c r="F75" i="2"/>
  <c r="F78" i="2" s="1"/>
  <c r="F92" i="2" s="1"/>
  <c r="F93" i="2" s="1"/>
  <c r="F36" i="4"/>
  <c r="H28" i="2"/>
  <c r="I9" i="2"/>
  <c r="L12" i="2"/>
  <c r="K35" i="2"/>
  <c r="K39" i="2" s="1"/>
  <c r="K67" i="2"/>
  <c r="K68" i="2" s="1"/>
  <c r="I78" i="2"/>
  <c r="I92" i="2" s="1"/>
  <c r="I13" i="4"/>
  <c r="L44" i="4"/>
  <c r="K32" i="3"/>
  <c r="K38" i="4" s="1"/>
  <c r="K39" i="4" s="1"/>
  <c r="F15" i="2"/>
  <c r="F20" i="2"/>
  <c r="F21" i="2" s="1"/>
  <c r="J15" i="2"/>
  <c r="I27" i="2"/>
  <c r="I28" i="2" s="1"/>
  <c r="G31" i="2"/>
  <c r="J51" i="2"/>
  <c r="J13" i="4"/>
  <c r="K32" i="4"/>
  <c r="F31" i="2"/>
  <c r="F72" i="2"/>
  <c r="F48" i="4"/>
  <c r="F51" i="4" s="1"/>
  <c r="F88" i="2" s="1"/>
  <c r="F89" i="2" s="1"/>
  <c r="I39" i="4"/>
  <c r="J12" i="2"/>
  <c r="G97" i="2"/>
  <c r="L27" i="2"/>
  <c r="L28" i="2" s="1"/>
  <c r="H32" i="3"/>
  <c r="H38" i="4" s="1"/>
  <c r="H39" i="4" s="1"/>
  <c r="F9" i="2"/>
  <c r="I12" i="2"/>
  <c r="H21" i="2"/>
  <c r="I82" i="2"/>
  <c r="I85" i="2" s="1"/>
  <c r="G47" i="2"/>
  <c r="H67" i="2"/>
  <c r="H68" i="2" s="1"/>
  <c r="I32" i="4"/>
  <c r="F43" i="2"/>
  <c r="L47" i="2"/>
  <c r="J31" i="2"/>
  <c r="I51" i="2"/>
  <c r="H51" i="2"/>
  <c r="H72" i="2"/>
  <c r="J101" i="2"/>
  <c r="K16" i="4"/>
  <c r="J27" i="2"/>
  <c r="J28" i="2" s="1"/>
  <c r="I47" i="4"/>
  <c r="I48" i="4" s="1"/>
  <c r="I51" i="4" s="1"/>
  <c r="I88" i="2" s="1"/>
  <c r="I89" i="2" s="1"/>
  <c r="F31" i="3"/>
  <c r="F27" i="2"/>
  <c r="F28" i="2" s="1"/>
  <c r="F55" i="2"/>
  <c r="F56" i="2" s="1"/>
  <c r="J32" i="4"/>
  <c r="J44" i="4"/>
  <c r="L13" i="4"/>
  <c r="L16" i="4"/>
  <c r="I10" i="4"/>
  <c r="J82" i="2"/>
  <c r="J85" i="2" s="1"/>
  <c r="J97" i="2"/>
  <c r="J17" i="2"/>
  <c r="J58" i="2"/>
  <c r="J60" i="2" s="1"/>
  <c r="J61" i="2" s="1"/>
  <c r="H58" i="2"/>
  <c r="H60" i="2" s="1"/>
  <c r="H61" i="2" s="1"/>
  <c r="I91" i="2"/>
  <c r="F95" i="2"/>
  <c r="F97" i="2" s="1"/>
  <c r="G15" i="2"/>
  <c r="I31" i="2"/>
  <c r="L58" i="2"/>
  <c r="L60" i="2" s="1"/>
  <c r="L61" i="2" s="1"/>
  <c r="I67" i="2"/>
  <c r="I68" i="2" s="1"/>
  <c r="H78" i="2"/>
  <c r="H92" i="2" s="1"/>
  <c r="H93" i="2" s="1"/>
  <c r="K78" i="2"/>
  <c r="K92" i="2" s="1"/>
  <c r="K93" i="2" s="1"/>
  <c r="J78" i="2"/>
  <c r="J92" i="2" s="1"/>
  <c r="J93" i="2" s="1"/>
  <c r="D50" i="4" l="1"/>
  <c r="D51" i="4" s="1"/>
  <c r="D88" i="2" s="1"/>
  <c r="D89" i="2" s="1"/>
  <c r="D85" i="2"/>
  <c r="G10" i="4"/>
  <c r="D31" i="3"/>
  <c r="D75" i="2"/>
  <c r="D78" i="2" s="1"/>
  <c r="D92" i="2" s="1"/>
  <c r="D93" i="2" s="1"/>
  <c r="H13" i="4"/>
  <c r="G13" i="4"/>
  <c r="H32" i="4"/>
  <c r="H10" i="4"/>
  <c r="G16" i="4"/>
  <c r="F85" i="2"/>
  <c r="G32" i="4"/>
  <c r="F5" i="4"/>
  <c r="F44" i="4" s="1"/>
  <c r="J21" i="2"/>
  <c r="H16" i="4"/>
  <c r="H44" i="4"/>
  <c r="I93" i="2"/>
  <c r="E31" i="3"/>
  <c r="E75" i="2"/>
  <c r="E78" i="2" s="1"/>
  <c r="E92" i="2" s="1"/>
  <c r="E93" i="2" s="1"/>
  <c r="I40" i="4"/>
  <c r="H40" i="4"/>
  <c r="G35" i="4"/>
  <c r="G36" i="4" s="1"/>
  <c r="G40" i="4" s="1"/>
  <c r="G47" i="4"/>
  <c r="G48" i="4" s="1"/>
  <c r="G51" i="4" s="1"/>
  <c r="G88" i="2" s="1"/>
  <c r="G89" i="2" s="1"/>
  <c r="K47" i="4"/>
  <c r="K48" i="4" s="1"/>
  <c r="K51" i="4" s="1"/>
  <c r="K88" i="2" s="1"/>
  <c r="K89" i="2" s="1"/>
  <c r="J56" i="3"/>
  <c r="K35" i="4"/>
  <c r="K36" i="4" s="1"/>
  <c r="K40" i="4" s="1"/>
  <c r="K27" i="4"/>
  <c r="K28" i="4" s="1"/>
  <c r="K29" i="4" s="1"/>
  <c r="J55" i="3"/>
  <c r="J27" i="4" s="1"/>
  <c r="J28" i="4" s="1"/>
  <c r="J29" i="4" s="1"/>
  <c r="F32" i="3"/>
  <c r="F38" i="4" s="1"/>
  <c r="F39" i="4" s="1"/>
  <c r="F40" i="4" s="1"/>
  <c r="F37" i="2"/>
  <c r="F38" i="2" s="1"/>
  <c r="F39" i="2" s="1"/>
  <c r="D32" i="3" l="1"/>
  <c r="D38" i="4" s="1"/>
  <c r="D39" i="4" s="1"/>
  <c r="D40" i="4" s="1"/>
  <c r="D37" i="2"/>
  <c r="D38" i="2" s="1"/>
  <c r="D39" i="2" s="1"/>
  <c r="F13" i="4"/>
  <c r="F16" i="4"/>
  <c r="F32" i="4"/>
  <c r="F10" i="4"/>
  <c r="E32" i="3"/>
  <c r="E38" i="4" s="1"/>
  <c r="E39" i="4" s="1"/>
  <c r="E40" i="4" s="1"/>
  <c r="E37" i="2"/>
  <c r="E38" i="2" s="1"/>
  <c r="E39" i="2" s="1"/>
  <c r="J47" i="4"/>
  <c r="J48" i="4" s="1"/>
  <c r="J51" i="4" s="1"/>
  <c r="J88" i="2" s="1"/>
  <c r="J89" i="2" s="1"/>
  <c r="D23" i="5"/>
  <c r="D24" i="5" s="1"/>
  <c r="D28" i="5" s="1"/>
  <c r="J35" i="4"/>
  <c r="J36" i="4" s="1"/>
  <c r="J40" i="4" s="1"/>
</calcChain>
</file>

<file path=xl/sharedStrings.xml><?xml version="1.0" encoding="utf-8"?>
<sst xmlns="http://schemas.openxmlformats.org/spreadsheetml/2006/main" count="442" uniqueCount="235">
  <si>
    <t>Årsak til bruk av alternativt resultatmål</t>
  </si>
  <si>
    <t>Definisjon</t>
  </si>
  <si>
    <t>Beregningsforklaring</t>
  </si>
  <si>
    <t>Resultatsammendrag i % beregnes ved å dividere hvert resultatelement med gjennomsnitlig forvaltningskapital. I beregningsforklaringen er resultatelementet netto renteinntekter brukt som eksempel. Ved opplysninger av resultatsammendrag i % for kortere perioder enn hele regnskapsår blir resultatelementene annualisert.</t>
  </si>
  <si>
    <t>Kostnadsprosent er et normalt nøkkeltall innenfor bank/finans. Nøkkeltallet reflekterer hvor effektivt banken/konsernet drives.</t>
  </si>
  <si>
    <t>Kostnadsprosenten reflekterer bankens/konsernets evne til å omsette sine driftskostnader til inntektservervelse. Kostnadsprosenten beregnes ved å dividere sum driftskostnader på sum inntekter.</t>
  </si>
  <si>
    <t>Innskuddsdekning</t>
  </si>
  <si>
    <t>Innskuddsdekningen reflekterer bankens evne til å finansiere utlån til kunder gjennom innskudd fra kunder. Innskuddsdekningen beregnes ved å dividere sum innskudd på sum utlån.</t>
  </si>
  <si>
    <t>Utlånsvekst siste 12 måneder</t>
  </si>
  <si>
    <t>Utlånsvekst siste 12 måneder reflekterer utlånsveksten i balansen fra tilsvarende tidspunkt i fjor til i år.</t>
  </si>
  <si>
    <t>ALTERNATIVE RESULTATMÅL</t>
  </si>
  <si>
    <t>Dokument</t>
  </si>
  <si>
    <t>Kapittel</t>
  </si>
  <si>
    <t>Hvorfor</t>
  </si>
  <si>
    <t>Hva</t>
  </si>
  <si>
    <t>Hvordan</t>
  </si>
  <si>
    <t xml:space="preserve">Egenkapitalavkastning </t>
  </si>
  <si>
    <t>Egenkapitalavkastning u/fondsobligasjoner</t>
  </si>
  <si>
    <t>Innskudd fra og gjeld til kunder/Brutto utlån til og fordringer på kunder</t>
  </si>
  <si>
    <t>Innskuddsdekning er et normalt nøkkeltall innenfor bank/finans. Nøkkeltallet viser andelen av bankens utlånsvirksomheten som finansieres av innskudd fra kunder.</t>
  </si>
  <si>
    <t xml:space="preserve">Utlånsvekst siste 12 måneder er et normalt nøkkeltall innenfor bank/finans. Nøkkeltallet viser veksten i bankens utlånsvirksomhet de siste 12 måneder. Ved å rullerende vise veksten for 12 måneder tas det hensyn til eventuelle sesongsvigninger </t>
  </si>
  <si>
    <t>Utlånsvekst siste 12 måneder reflekterer utlånsveksten i balansen og lån formidlet via Eika Boligkreditt AS fra tilsvarende tidspunkt i fjor til i år.</t>
  </si>
  <si>
    <t xml:space="preserve">Banken kan styre om utlån plassers i egen balanse eller om de benytter Eika Boligkreditt AS. Ved å inkludere veksten i bankens portefølje i Eika Boligkreditt viser nøkeltallet den samlede veksten i lån formidlet av banken siste 12 måneder uavhengi av hvor banken har valgt å plassere lånene. </t>
  </si>
  <si>
    <t>Innskuddsvekst siste 12 måneder</t>
  </si>
  <si>
    <t>Innskuddsvekst siste 12 måneder er et normalt nøkkeltall innenfor bank/finans. Nøkkeltallet reflekterer aktiviteten og veksten i bankens innskuddsvirksomhet</t>
  </si>
  <si>
    <t>Innskuddsvekst siste 12 måneder reflekterer innskuddsveksten i balansen fra tilsvarende tidspunkt i fjor til i år</t>
  </si>
  <si>
    <t>Kostnad/inntektsforhold inkl. verdipapirtap/gevinst i %</t>
  </si>
  <si>
    <t>Kostnad/inntektsforhold ekskl. verdipapirtap/gevinst i %</t>
  </si>
  <si>
    <t>Forvaltningskapital pr. årsverk</t>
  </si>
  <si>
    <t>Utlån formidlet via Eika Boligkreditt AS (EBK)</t>
  </si>
  <si>
    <t>Utlånsvekst siste 12 måneder inkl. Eika Boligkreditt AS (EBK)</t>
  </si>
  <si>
    <t>Volum på utlån som banken har formidlet til EBK og som de mottar provisjon på.</t>
  </si>
  <si>
    <t>Bokført egenkapital per egenkapitalbevis</t>
  </si>
  <si>
    <t>Resultat per egenkapitalbevis</t>
  </si>
  <si>
    <t>Nøkkeltallet gir leserne informasjon om inntjeningen per egenkapitalbevis. Nøkkeltallet gir leseren mulighet til å vurdere rimeligheten av børskursen til egenkapitalbeviset.</t>
  </si>
  <si>
    <t>Pris/Bokført Egenkapital</t>
  </si>
  <si>
    <t>Pris/Resultat per egenkapitalbevis</t>
  </si>
  <si>
    <t>Nøkkeltallet gir leserne informasjon om inntjeningen per egenkapitalbevis sett opp mot børskurs på aktuelle tidspunkt. Nøkkeltallet gir leseren mulighet til å vurdere rimeligheten av børskursen til egenkapitalbeviset</t>
  </si>
  <si>
    <t>Nøkkeltallet gir leserne informasjon om verdien av den bokførte egenkapitalen per egenkapitalbevis sett opp mot børskurs på aktuelle tidspunkt. Nøkkeltallet gir leseren mulighet til å vurdere rimeligheten av børskursen til egenkapitalbeviset.</t>
  </si>
  <si>
    <t>Kundemargin</t>
  </si>
  <si>
    <t>Nøkkeltallet gir leserne informasjon om inntjeningen på bankens utlånsportefølje relativt til inntjeningen på bankens innskuddsportefølje. Nøkkeltallet gir leseren mulighet til å vurdere lønnsomheten i bankens netto eksponering mot kunder.</t>
  </si>
  <si>
    <t>Børskurs per egenkapitalbevis dividerte på resultat per egenkapitalbevis (se definisjon av dette nøkkeltallet over).</t>
  </si>
  <si>
    <t>Børskurs per egenkapitalbevis/Resultat per egenkapitalbevis</t>
  </si>
  <si>
    <t>Børskurs per egenkapitalbevis dividerte på bokført egenkapital per egenkapitalbevis (se definisjon av dette nøkkeltallet over).</t>
  </si>
  <si>
    <t>Børskurs per egenkapitalbevis/Bokført egenkapital per egenkapitalbevis</t>
  </si>
  <si>
    <t>Nøkkeltallet viser forvaltningskapital per årsverk på balansetidspunktet. Nøkkeltallet har til hensik å gi informasjon om banken sin effektivitet.</t>
  </si>
  <si>
    <t>Nøkkeltallet viser forvaltningskapital per årsverk på balansetidspunktet</t>
  </si>
  <si>
    <t>Resultatsammendrag i % angir de ulike resultatelementene som funksjon av gjennomsnitlig forvaltningskapital. Nøkkeltallene brukes for å vise den relative utviklingen av resultatelementene sett i forhold til utviklingen av forvaltningskapitalen.</t>
  </si>
  <si>
    <t xml:space="preserve">Tapsprosent utlån </t>
  </si>
  <si>
    <t>Nøkkeltallet gir leserne informasjon om verdien av den bokførte egenkapitalen per egenkapitalbevis. Nøkkeltallet gir leseren mulighet til å vurdere rimeligheten av børskursen til egenkapitalbeviset.</t>
  </si>
  <si>
    <t>Egenkapitalbeviseiernes andel av egenkapitalen dividert på antall egenkapitalbevis.</t>
  </si>
  <si>
    <t>Forvaltningskapital/Antall ansatte</t>
  </si>
  <si>
    <t>Resultatsammendrag i % inkludere: Rentenetto, netto andre driftsinntekter, sum driftskostnader og resultat</t>
  </si>
  <si>
    <t>Kostnadsprosent er et normalt nøkkeltall innenfor bank/finans. Nøkkeltallet reflekterer hvor effektivt banken/konsernet drives. Tap og gevinster på verdipapirer kan svinge mye fra år til år og banken mener at man ved beregne nøkkeltallet uten disse inntektene kan sammenligne bedre utviklingen i effektivitet over tid enn når inntekter fra verdipapirer inkluderes.</t>
  </si>
  <si>
    <t>Nøkkeltallet viser avkastningen på egenkapitalen, og gir eierene av egenkapitalen informasjon om avkastningen på midlene de har skutt inn. Nøkkeltallet gir også et godt mål på hvor effektivt egenkapitalen brukes og hvor godt banken drives.</t>
  </si>
  <si>
    <t>Egenkapitalavkastningen beregnes ved å dividere resultat etter skatt med gjennomsnitlig egenkapital siste året. Ved opplysninger av egenkapitalavkastning for kortere perioder enn hele regnskapsår blir resultatet annualisert.</t>
  </si>
  <si>
    <t>Resultat etter skatt/Gjennomsnittlig egenkapital siste år</t>
  </si>
  <si>
    <t>Sum driftskostnader/(Netto rente og kredittprovisjonsinntekter+Netto andre driftsinntekter)</t>
  </si>
  <si>
    <t>Sum driftskostnader/(Netto rente og kredittprovisjonsinntekter+Netto andre driftsinntekter-Nettoverdiendring og gevinst/tap på valuta og verdipapirer)</t>
  </si>
  <si>
    <t xml:space="preserve">Banken kan styre om utlån plassers i egen balanse eller om banken benytter Eika Boligkreditt AS. Lån som inngår i bankes låneportefølje i EBK formidles via Totens Sparebank og kundeforholdet forvaltes av Totens Sparebank. For å ha et riktigere bilde av hvilke lån banken formidler har banken valgt å vise bankens portefølje i EBK i sine nøkkeltall  </t>
  </si>
  <si>
    <t>(Netto utlån til og fordringer på kunder i år - Netto utlån til og fordringer på kunder i fjor)/Netto utlån og fordringer på kunder i fjor</t>
  </si>
  <si>
    <t>Netto tap på utlån og garantier/Netto utlån til og fordringer på kunder</t>
  </si>
  <si>
    <t>(Sum egenkapital-Fondsobligasjoner) x Eierandelsbrøk/Antall egenkapitalbevis</t>
  </si>
  <si>
    <t>Eierandelsbrøk (gjeldende for etterfølgende år)</t>
  </si>
  <si>
    <t>Formidlingskapital</t>
  </si>
  <si>
    <t>Formidlede lån</t>
  </si>
  <si>
    <t>Nøkkeltallet gir informasjon om hvor stor andel av bankens egenkapital som eies av egenkapitalbeviseiere</t>
  </si>
  <si>
    <t>Eierandelskapital+overkursfornd+utjevningsfond/(Total egenkapital-fond for urealiserte gevinster-annen egenkapital)</t>
  </si>
  <si>
    <t>Nøkkeltallet gir informasjon om hvor stor andel av bankens egenkapital som eies av egenkapitalbeviseiere. Dette brukes for å beregne egenkapitalbeviseierenes andel av f.eks resultat og bokført egenkapital per egenkapitalbevis. Brøken beregnes ved årsslutt og gjelder for påfølgende år.</t>
  </si>
  <si>
    <t xml:space="preserve">Formidlingskapital gir informasjon om hva bankens totale forvaltningskapital ville vært om lånene som er formidlet via Eika Boligkreditt hadde vært inkludert i konsernet. Banken betjener kundene som har disse lånene og formidlingskapital gir noe mer informasjon om hvor mye lån som betjenes av bankens ansatte enn forvaltningskapital. </t>
  </si>
  <si>
    <t>Formidlingskapital gir informasjon om hva bankens totale forvaltningskapital ville vært om lånene som er formidlet via Eika Boligkreditt inkluderes i konsernet</t>
  </si>
  <si>
    <t>Formidlede lån gir informasjon om hva bankens totale formidlede lån ville vært om lånene som er formidlet via Eika Boligkreditt hadde vært inkludert i konsernet. Banken betjener kundene som har disse lånene og formidlede lån gir noe mer informasjon om hvor mye lån som betjenes av bankens ansatte enn konsernets ulån.</t>
  </si>
  <si>
    <t>Formidlede lån gir informasjon om hva bankens totale formidlede lån ville vært om lånene som er formidlet via Eika Boligkreditt hadde vært inkludert i konsernet</t>
  </si>
  <si>
    <t>Netto andre driftsinntekter i % av gj.snittlig forvaltningskapital</t>
  </si>
  <si>
    <t>Sum driftskostnader i % av gj.snittlig forvaltningskapital</t>
  </si>
  <si>
    <t>Kostnad-/inntektsforhold  inkl. verdipapirtap/gevinst</t>
  </si>
  <si>
    <t xml:space="preserve">Kostnad-/inntektsforhold  ekskl. verdipapirtap/gevinst </t>
  </si>
  <si>
    <t>Egenkapitalavkastning, uten fondsobligasjoner</t>
  </si>
  <si>
    <t>Egenkapitalavkastning, fondsobligasjoner inkl. i egenkapital</t>
  </si>
  <si>
    <t xml:space="preserve">Innskuddsdekning </t>
  </si>
  <si>
    <t>Endring i netto utlån til kunder siste 12 måneder i %</t>
  </si>
  <si>
    <t>Endring i innskudd fra kunder siste 12 måneder i %</t>
  </si>
  <si>
    <t>KVARTALSVIS RESULTATUTVIKLING</t>
  </si>
  <si>
    <t>3. kv. 22</t>
  </si>
  <si>
    <t>2. kv. 22</t>
  </si>
  <si>
    <t>1. kv. 22</t>
  </si>
  <si>
    <t>4. kv. 21</t>
  </si>
  <si>
    <t>3. kv. 21</t>
  </si>
  <si>
    <t>2. kv. 21</t>
  </si>
  <si>
    <t>Netto rente- og kredittprovisjonsinntekter</t>
  </si>
  <si>
    <t>Netto andre driftsinntekter</t>
  </si>
  <si>
    <t>Sum driftskostnader</t>
  </si>
  <si>
    <t>Driftsresultat før tap og nedskrivninger</t>
  </si>
  <si>
    <t>Tap på utlån, garantier m.v.</t>
  </si>
  <si>
    <t>Driftsresultat før skatt</t>
  </si>
  <si>
    <t>Skatt på ordinært resultat</t>
  </si>
  <si>
    <t>Resultat av ordinær drift etter skatt</t>
  </si>
  <si>
    <t>BALANSEUTVIKLING</t>
  </si>
  <si>
    <t>Netto utlån til og fordringer på kunder</t>
  </si>
  <si>
    <t>Innskudd fra og gjeld til kunder</t>
  </si>
  <si>
    <t>Gjeld stiftet ved utstedelse av verdipapirer</t>
  </si>
  <si>
    <t>Ansvarlig lånekapital</t>
  </si>
  <si>
    <t>Egenkapital</t>
  </si>
  <si>
    <t>Forvaltningskapital</t>
  </si>
  <si>
    <t>Gjennomsnittlig  forvaltningskapital siste periode</t>
  </si>
  <si>
    <t>Gjennomsnittlig egenkapital siste periode</t>
  </si>
  <si>
    <t>Antall årsverk ved kvartalsslutt</t>
  </si>
  <si>
    <t>Netto renteinntekter/Gjennomsnittlig forvaltningskapital</t>
  </si>
  <si>
    <t>Rentenetto i kr kvartalet</t>
  </si>
  <si>
    <t>Antall dager i kvartalet</t>
  </si>
  <si>
    <t>Rentenetto i % av forvaltningskapital i kvartalet</t>
  </si>
  <si>
    <t>Netto andre driftsinntekter i kvartalet</t>
  </si>
  <si>
    <t>Sum driftskostnader i kvartalet</t>
  </si>
  <si>
    <t>Sum inntekter</t>
  </si>
  <si>
    <t>Sum inntekter eks verdipapirtap/gevinst</t>
  </si>
  <si>
    <t xml:space="preserve">Netto verdiendring og gevinst(+)/tap(-) på valuta og verdipapirer </t>
  </si>
  <si>
    <t>til virkelig verdi over resultatet</t>
  </si>
  <si>
    <t>A1</t>
  </si>
  <si>
    <t>A2</t>
  </si>
  <si>
    <t>A3</t>
  </si>
  <si>
    <t>A4</t>
  </si>
  <si>
    <t>(A4*365/A1)/A2</t>
  </si>
  <si>
    <t>Formel for beregning</t>
  </si>
  <si>
    <t>A5</t>
  </si>
  <si>
    <t>A6</t>
  </si>
  <si>
    <t>(A5*365/A1)/A2</t>
  </si>
  <si>
    <t>(A6*365/A1)/A2</t>
  </si>
  <si>
    <t>A4+A5</t>
  </si>
  <si>
    <t>A6/(A4+A5)</t>
  </si>
  <si>
    <t>A7</t>
  </si>
  <si>
    <t>A6/(A4+A5-A7)</t>
  </si>
  <si>
    <t>Driftsresultat før tap og nedskrivinger  i % av gj.snittlig forvaltningskapital</t>
  </si>
  <si>
    <t>A4+A5-A7</t>
  </si>
  <si>
    <t>A8</t>
  </si>
  <si>
    <t>(A8*365/A1)/A2</t>
  </si>
  <si>
    <t>A9</t>
  </si>
  <si>
    <t>Renter på fondsobligasjoner</t>
  </si>
  <si>
    <t>A10</t>
  </si>
  <si>
    <t>Resultat av ordinær drift etter skatt fratrukket renter på fondsobligasjoner</t>
  </si>
  <si>
    <t>Fondsobligasjoner</t>
  </si>
  <si>
    <t>A9-A10</t>
  </si>
  <si>
    <t>A11</t>
  </si>
  <si>
    <t>A12</t>
  </si>
  <si>
    <t>Gjennomsnittlig egenkapital siste periode uten fondsobligasjoner</t>
  </si>
  <si>
    <t>A11-A12</t>
  </si>
  <si>
    <t>((A9-A10)*365/A1)/(A11-A12)</t>
  </si>
  <si>
    <t>(A9*365/A1)/(A11)</t>
  </si>
  <si>
    <t>Gj.snitt forvaltningskapital i kvartalet</t>
  </si>
  <si>
    <t>A12/A3</t>
  </si>
  <si>
    <t>A13</t>
  </si>
  <si>
    <t>A14</t>
  </si>
  <si>
    <t>A13*100/A14</t>
  </si>
  <si>
    <t>Netto utlån til og fordringer på kunder per dato</t>
  </si>
  <si>
    <t>Netto utlån til og fordringer på kunder samme kvartal for et år siden</t>
  </si>
  <si>
    <t>Økt utlån siste 12 måneder</t>
  </si>
  <si>
    <t>A15</t>
  </si>
  <si>
    <t>Innskudd fra og gjeld til kunder samme kvartal for et år siden</t>
  </si>
  <si>
    <t>Endring i innskudd fra kunder siste 12</t>
  </si>
  <si>
    <t>A16</t>
  </si>
  <si>
    <t>A14-A15</t>
  </si>
  <si>
    <t>(A14-A15)/A15</t>
  </si>
  <si>
    <t>A13-A16</t>
  </si>
  <si>
    <t>(A13-A16)/A16</t>
  </si>
  <si>
    <t>Utlån formidlet via Eika Boligkreditt AS (EBK) samme kvartal for et år siden</t>
  </si>
  <si>
    <t>Økt utlån inkludert EBK siste 12 måneder</t>
  </si>
  <si>
    <t>A17</t>
  </si>
  <si>
    <t>A18</t>
  </si>
  <si>
    <t>A14-A15+A17-A18</t>
  </si>
  <si>
    <t>(A14-A15+A17-A18)/(A15+A18)</t>
  </si>
  <si>
    <t>A19</t>
  </si>
  <si>
    <t>A14*100/A19</t>
  </si>
  <si>
    <t>A20</t>
  </si>
  <si>
    <t>A21</t>
  </si>
  <si>
    <t>Antall egenkapitalbevis</t>
  </si>
  <si>
    <t>A22</t>
  </si>
  <si>
    <t>((A20-A12)*A21/100)/A22</t>
  </si>
  <si>
    <t>((A9-A10)*A21/100)/A22</t>
  </si>
  <si>
    <t>Pris/resultat per egenkapitalbevis (annualisert resultat pr EKB)</t>
  </si>
  <si>
    <t>Børskurs</t>
  </si>
  <si>
    <t>A23</t>
  </si>
  <si>
    <t>A24</t>
  </si>
  <si>
    <t>A25</t>
  </si>
  <si>
    <t>A23/A25</t>
  </si>
  <si>
    <t>A12+A17</t>
  </si>
  <si>
    <t>A14+A17</t>
  </si>
  <si>
    <t xml:space="preserve">Gj.snitt forvaltningskapital </t>
  </si>
  <si>
    <t>1. kv. 21</t>
  </si>
  <si>
    <t>Egenkapital gjennomsnitt kvartal</t>
  </si>
  <si>
    <t>Egenkapital gjennomsnitt hittil i år</t>
  </si>
  <si>
    <t>Forvaltningskapital gjennomsnitt kvartal</t>
  </si>
  <si>
    <t>Forvaltningskapital gjennomsnitt hittil i år</t>
  </si>
  <si>
    <t>RESULTATUTVIKLING HITTIL I ÅR</t>
  </si>
  <si>
    <t>Rentenetto i kr</t>
  </si>
  <si>
    <t>*A23/(A24*4/antall kvartaler i året)</t>
  </si>
  <si>
    <t>Linjer og nøkkeltall</t>
  </si>
  <si>
    <t>Rentenetto i % av forvaltningskapital</t>
  </si>
  <si>
    <t>Antall årsverk</t>
  </si>
  <si>
    <t>Antall dager</t>
  </si>
  <si>
    <t xml:space="preserve">Sum driftskostnader </t>
  </si>
  <si>
    <t xml:space="preserve">Netto andre driftsinntekter </t>
  </si>
  <si>
    <t>Avsteminger av alternative resultatmål - kvartalsvis</t>
  </si>
  <si>
    <t>Avsteminger av alternative resultatmål -hittil for året</t>
  </si>
  <si>
    <t>Spesifikasjon av enkelte poster i regnskapet per kvartal</t>
  </si>
  <si>
    <t xml:space="preserve">Øvrige poster </t>
  </si>
  <si>
    <t>Spesifikasjon av enkelte poster i regnskapet hittil i året</t>
  </si>
  <si>
    <t>Kode i formeler</t>
  </si>
  <si>
    <t>Resultat etter skatt-Renter til fondsobligasjoner/(Gjennomsnittlig egenkapital-Gjennomsnittllig fondsobligasjoner)</t>
  </si>
  <si>
    <t>Fondsobligasjoner gjennomsnittlig kvartal</t>
  </si>
  <si>
    <t>Fondsobligasjoner gjennomsnittlig hittil i år</t>
  </si>
  <si>
    <t>4. kv. 22</t>
  </si>
  <si>
    <t>Beregning av gjennomsnittlig kapital for perioder</t>
  </si>
  <si>
    <t xml:space="preserve">Beløp i aktuelle perioder/antall perioder som inkluderes. Banken bruker måneder som grunnlag og inkludere tall både fra starten og slutt i de aktuelle perioder. </t>
  </si>
  <si>
    <t>Gjennomsnittlig kapital for perioder brukes for å finne gjennomsnittlig kapital for den aktuelle periode. Gjennomsnittsberegninger bruke i alternative resultat mål blant annet for å finne avkastning i den aktuelle perioden på kapital.</t>
  </si>
  <si>
    <t>Kapital i aktuelle perioder summers og deles på antall perioder som inkluderes og gjennomsnittet over perioden beregnes. Banken bruker måneder som grunnlag slik at gjennomsnitt som fremkommer er basert på kapital i de måneder som inkluderes. Både inngående og utgående periode inkluderes. Slik at kvartalsvis gjennomsnitt inkluderer 4 perioder (måneder) og årlig gjennomsnitt inkludere 13 perioder.</t>
  </si>
  <si>
    <t>(IB+UB)/2</t>
  </si>
  <si>
    <t>(A8*365/A1)/(IB+UB)/2</t>
  </si>
  <si>
    <t>Avsteminger av alternative resultatmål -for året</t>
  </si>
  <si>
    <t xml:space="preserve"> - hvor tidligere brukt metodikk for beregning av gjennomsnitt er lagt til grunn</t>
  </si>
  <si>
    <t xml:space="preserve">Linjer markert med gult er her beregnet etter metodikk som tildligere ble benyttet ved berening av gjennomsnittlig kapital. Tidligere brukte banken IB+UB for perioden dividert på 2 </t>
  </si>
  <si>
    <t>Kostnadsprosenten reflekterer bankens/konsernets evne til å omsette sine driftskostnader til inntektservervelse. Kostnadsprosenten beregnes ved å dividere sum driftskostnader på sum inntekter fratrukket inntekter fra verdipapirer.</t>
  </si>
  <si>
    <t xml:space="preserve">I bankens egenkapital inkluderes fondsobligasjoner. Disse fondsobligasjonene har ikke rett på utbytte, men forrentes etter en avtalt rente, som ikke fratrekkes resultatet, men regnskapsmessig vedtas som disponert overskudd. For de øvrige eierene av egenkapital er det av interesse at egenkapitalen beregnes uten at fondsobligasjonene inkluderes for å vise avkastningen av deres andel av egenkapitalen. </t>
  </si>
  <si>
    <t>Egenkapitalavkastningen beregnes ved å dividere resultat etter skatt, fratrukket renter på fondsobligasjoner,  med gjennomsnitlig egenkapital, fratrukket gjennomsnittlig fondsobligasjoner siste året. Ved opplysninger av egenkapitalavkastning for kortere perioder enn hele regnskapsår blir periodens resultat annualisert.</t>
  </si>
  <si>
    <t>(Netto utlån til og fordringer på kunder pr dato+Bankens portefølje i EBK pr dato -Netto utlån til og fordringer på kunder for et år siden-Bankens portefølje i EBK for et år siden)/Netto utlån og fordringer på kunder for et år siden+Bankens portefølje i EBK for et år siden</t>
  </si>
  <si>
    <t>(Innskudd fra og gjeld til kunder i år pr dato- Innskudd fra og gjeld til kunder for et år siden)/Innskudd fra og gjeld til kunder for et år siden</t>
  </si>
  <si>
    <t xml:space="preserve">Nøkkeltallet viser periodens tapskostnad i prosent av netto utlån redusert for tapsavsetninger på balansetidspunktet. Nøkkeltallet er et mål på hvor stor andel tap relativt utgjør av lånbeløp og gir over tid et måltall for den risiko som bankens utlån har for tap. </t>
  </si>
  <si>
    <t>Nøkkeltallet angir resultatført tapskostnad i perioden dividert med netto utlån redusert for tapsavsetninger på balansetidspunktet. Ved opplysninger av tapsprosent utlån for kortere perioder enn hele regnskapsår blir resultatført tapskostnad annualisert.</t>
  </si>
  <si>
    <t>Egenkapitalbeviseiernes andel av resultatet dividert på gjennomsnittlig antall egenkapitalbevis.</t>
  </si>
  <si>
    <t>(Periodens resultat/Resultat for regnskapsåret-renter på fondsobligasjoner ) x Eierandelsbrøk/Gjrnnomsnittlig antall egenkapitalbevis</t>
  </si>
  <si>
    <t>Gjennomsnitlig utlånsrente på utlånsporteføljen i perioden fratrukket gjennomsnitlig rente på innskudd fra kunder i perioden.</t>
  </si>
  <si>
    <t>Gjennomsnittlig rente på netto utlån i perioden - Gjennomsnittlig rente på innskudd fra kunder i perioden</t>
  </si>
  <si>
    <t>Forvaltningskapital pr dato+ utlån formidlet via Eika Boligkreditt AS pr dato</t>
  </si>
  <si>
    <t>Netto utlån til kunder fratrukket tapsavstninger pr dato+Ulån formidlet via Eika Boligkreditt AS pr dato.</t>
  </si>
  <si>
    <t>1. kv. 23</t>
  </si>
  <si>
    <t>2. kv. 23</t>
  </si>
  <si>
    <t>3. kv.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</si>
</sst>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 #,##0_ ;_ * \-#,##0_ ;_ * &quot;-&quot;??_ ;_ @_ "/>
    <numFmt numFmtId="165" formatCode="_-* #,##0_-;\-* #,##0_-;_-* &quot;-&quot;??_-;_-@_-"/>
  </numFmts>
  <fonts count="15" x14ac:knownFonts="1">
    <font>
      <sz val="10"/>
      <color theme="1"/>
      <name val="Arial"/>
      <family val="2"/>
    </font>
    <font>
      <sz val="20"/>
      <color rgb="FF0070C0"/>
      <name val="Arial"/>
      <family val="2"/>
    </font>
    <font>
      <sz val="10"/>
      <color theme="1"/>
      <name val="Arial"/>
      <family val="2"/>
    </font>
    <font>
      <b/>
      <sz val="8"/>
      <name val="Lucida Sans"/>
      <family val="2"/>
    </font>
    <font>
      <sz val="8"/>
      <name val="Lucida Sans"/>
      <family val="2"/>
    </font>
    <font>
      <b/>
      <sz val="10"/>
      <name val="Lucida Sans"/>
      <family val="2"/>
    </font>
    <font>
      <b/>
      <sz val="8"/>
      <color indexed="8"/>
      <name val="Lucida Sans"/>
      <family val="2"/>
    </font>
    <font>
      <sz val="8"/>
      <color theme="1"/>
      <name val="Lucida Sans"/>
      <family val="2"/>
    </font>
    <font>
      <b/>
      <sz val="8"/>
      <color theme="1"/>
      <name val="Lucida Sans"/>
      <family val="2"/>
    </font>
    <font>
      <sz val="8"/>
      <color indexed="8"/>
      <name val="Lucida Sans"/>
      <family val="2"/>
    </font>
    <font>
      <sz val="8"/>
      <name val="Arial"/>
      <family val="2"/>
    </font>
    <font>
      <sz val="8"/>
      <color theme="1"/>
      <name val="Arial"/>
      <family val="2"/>
    </font>
    <font>
      <b/>
      <sz val="16"/>
      <color theme="1"/>
      <name val="Lucida Sans"/>
      <family val="2"/>
    </font>
    <font>
      <b/>
      <sz val="20"/>
      <name val="Arial"/>
      <family val="2"/>
    </font>
    <font>
      <sz val="1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bottom/>
      <diagonal/>
    </border>
    <border>
      <left/>
      <right/>
      <top/>
      <bottom style="thin">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64">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2" borderId="0" xfId="0" applyFill="1"/>
    <xf numFmtId="0" fontId="0" fillId="2" borderId="1" xfId="0" applyFill="1" applyBorder="1"/>
    <xf numFmtId="0" fontId="0" fillId="2" borderId="0" xfId="0" applyFill="1" applyAlignment="1">
      <alignment vertical="top" wrapText="1"/>
    </xf>
    <xf numFmtId="0" fontId="0" fillId="2" borderId="1" xfId="0" applyFill="1" applyBorder="1" applyAlignment="1">
      <alignment vertical="top" wrapText="1"/>
    </xf>
    <xf numFmtId="0" fontId="1" fillId="0" borderId="0" xfId="0" applyFont="1"/>
    <xf numFmtId="0" fontId="0" fillId="0" borderId="0" xfId="0" applyAlignment="1">
      <alignment wrapText="1"/>
    </xf>
    <xf numFmtId="0" fontId="4" fillId="0" borderId="0" xfId="0" applyFont="1" applyAlignment="1">
      <alignment vertical="center"/>
    </xf>
    <xf numFmtId="0" fontId="4" fillId="3" borderId="0" xfId="0" applyFont="1" applyFill="1" applyAlignment="1">
      <alignment vertical="center"/>
    </xf>
    <xf numFmtId="3" fontId="4" fillId="3" borderId="0" xfId="0" applyNumberFormat="1" applyFont="1" applyFill="1" applyAlignment="1">
      <alignment horizontal="right" vertical="center"/>
    </xf>
    <xf numFmtId="3" fontId="7" fillId="3" borderId="0" xfId="0" applyNumberFormat="1" applyFont="1" applyFill="1" applyAlignment="1">
      <alignment horizontal="right" vertical="center"/>
    </xf>
    <xf numFmtId="0" fontId="4" fillId="3" borderId="3" xfId="0" applyFont="1" applyFill="1" applyBorder="1" applyAlignment="1">
      <alignment vertical="center"/>
    </xf>
    <xf numFmtId="3" fontId="4" fillId="3" borderId="3" xfId="0" applyNumberFormat="1" applyFont="1" applyFill="1" applyBorder="1" applyAlignment="1">
      <alignment horizontal="right" vertical="center"/>
    </xf>
    <xf numFmtId="3" fontId="7" fillId="3" borderId="3" xfId="0" applyNumberFormat="1" applyFont="1" applyFill="1" applyBorder="1" applyAlignment="1">
      <alignment horizontal="right" vertical="center"/>
    </xf>
    <xf numFmtId="0" fontId="3" fillId="3" borderId="0" xfId="0" applyFont="1" applyFill="1" applyAlignment="1">
      <alignment vertical="center"/>
    </xf>
    <xf numFmtId="3" fontId="3" fillId="3" borderId="0" xfId="0" applyNumberFormat="1" applyFont="1" applyFill="1" applyAlignment="1">
      <alignment horizontal="right" vertical="center"/>
    </xf>
    <xf numFmtId="3" fontId="8" fillId="3" borderId="0" xfId="0" applyNumberFormat="1" applyFont="1" applyFill="1" applyAlignment="1">
      <alignment horizontal="right" vertical="center"/>
    </xf>
    <xf numFmtId="3" fontId="9" fillId="3" borderId="0" xfId="0" applyNumberFormat="1" applyFont="1" applyFill="1" applyAlignment="1">
      <alignment horizontal="right" vertical="center"/>
    </xf>
    <xf numFmtId="164" fontId="9" fillId="0" borderId="0" xfId="1" applyNumberFormat="1" applyFont="1" applyFill="1" applyAlignment="1">
      <alignment horizontal="right" vertical="center"/>
    </xf>
    <xf numFmtId="3" fontId="0" fillId="0" borderId="0" xfId="0" applyNumberFormat="1"/>
    <xf numFmtId="3" fontId="4" fillId="0" borderId="0" xfId="0" applyNumberFormat="1" applyFont="1" applyAlignment="1">
      <alignment horizontal="right" vertical="center"/>
    </xf>
    <xf numFmtId="3" fontId="4" fillId="0" borderId="3" xfId="0" applyNumberFormat="1" applyFont="1" applyBorder="1" applyAlignment="1">
      <alignment horizontal="right" vertical="center"/>
    </xf>
    <xf numFmtId="3" fontId="3" fillId="0" borderId="0" xfId="0" applyNumberFormat="1" applyFont="1" applyAlignment="1">
      <alignment horizontal="right" vertical="center"/>
    </xf>
    <xf numFmtId="0" fontId="0" fillId="3" borderId="0" xfId="0" applyFill="1"/>
    <xf numFmtId="2" fontId="4" fillId="3" borderId="0" xfId="0" applyNumberFormat="1" applyFont="1" applyFill="1" applyAlignment="1">
      <alignment horizontal="right" vertical="center"/>
    </xf>
    <xf numFmtId="0" fontId="4" fillId="3" borderId="0" xfId="0" applyFont="1" applyFill="1" applyAlignment="1">
      <alignment horizontal="right" vertical="center"/>
    </xf>
    <xf numFmtId="0" fontId="7" fillId="0" borderId="0" xfId="0" applyFont="1"/>
    <xf numFmtId="0" fontId="7" fillId="3" borderId="0" xfId="0" applyFont="1" applyFill="1"/>
    <xf numFmtId="165" fontId="7" fillId="3" borderId="0" xfId="1" applyNumberFormat="1" applyFont="1" applyFill="1"/>
    <xf numFmtId="0" fontId="4" fillId="3" borderId="0" xfId="0" applyFont="1" applyFill="1"/>
    <xf numFmtId="3" fontId="7" fillId="0" borderId="0" xfId="0" applyNumberFormat="1" applyFont="1"/>
    <xf numFmtId="0" fontId="12" fillId="2" borderId="4" xfId="0" applyFont="1" applyFill="1" applyBorder="1"/>
    <xf numFmtId="0" fontId="7" fillId="2" borderId="5" xfId="0" applyFont="1" applyFill="1" applyBorder="1"/>
    <xf numFmtId="0" fontId="7" fillId="2" borderId="6" xfId="0" applyFont="1" applyFill="1" applyBorder="1"/>
    <xf numFmtId="0" fontId="0" fillId="2" borderId="7" xfId="0" applyFill="1" applyBorder="1"/>
    <xf numFmtId="0" fontId="0" fillId="2" borderId="0" xfId="0" applyFill="1" applyBorder="1"/>
    <xf numFmtId="0" fontId="7" fillId="2" borderId="0" xfId="0" applyFont="1" applyFill="1" applyBorder="1"/>
    <xf numFmtId="0" fontId="7" fillId="2" borderId="8" xfId="0" applyFont="1" applyFill="1" applyBorder="1"/>
    <xf numFmtId="0" fontId="5" fillId="2" borderId="7" xfId="0" applyFont="1" applyFill="1" applyBorder="1" applyAlignment="1">
      <alignment vertical="center"/>
    </xf>
    <xf numFmtId="0" fontId="7" fillId="0" borderId="7" xfId="0" applyFont="1" applyBorder="1"/>
    <xf numFmtId="0" fontId="7" fillId="0" borderId="0" xfId="0" applyFont="1" applyBorder="1"/>
    <xf numFmtId="0" fontId="7" fillId="0" borderId="8" xfId="0" applyFont="1" applyBorder="1"/>
    <xf numFmtId="0" fontId="4" fillId="0" borderId="7" xfId="0" applyFont="1" applyBorder="1" applyAlignment="1">
      <alignment vertical="center"/>
    </xf>
    <xf numFmtId="3" fontId="7" fillId="0" borderId="0" xfId="0" applyNumberFormat="1" applyFont="1" applyBorder="1"/>
    <xf numFmtId="3" fontId="7" fillId="0" borderId="8" xfId="0" applyNumberFormat="1" applyFont="1" applyBorder="1"/>
    <xf numFmtId="0" fontId="4" fillId="2" borderId="7" xfId="0" applyFont="1" applyFill="1" applyBorder="1" applyAlignment="1">
      <alignment vertical="center"/>
    </xf>
    <xf numFmtId="3" fontId="7" fillId="2" borderId="0" xfId="0" applyNumberFormat="1" applyFont="1" applyFill="1" applyBorder="1"/>
    <xf numFmtId="3" fontId="7" fillId="2" borderId="8" xfId="0" applyNumberFormat="1" applyFont="1" applyFill="1" applyBorder="1"/>
    <xf numFmtId="10" fontId="7" fillId="2" borderId="0" xfId="2" applyNumberFormat="1" applyFont="1" applyFill="1" applyBorder="1"/>
    <xf numFmtId="10" fontId="7" fillId="2" borderId="8" xfId="2" applyNumberFormat="1" applyFont="1" applyFill="1" applyBorder="1"/>
    <xf numFmtId="10" fontId="7" fillId="0" borderId="0" xfId="2" applyNumberFormat="1" applyFont="1" applyBorder="1"/>
    <xf numFmtId="10" fontId="7" fillId="0" borderId="8" xfId="2" applyNumberFormat="1" applyFont="1" applyBorder="1"/>
    <xf numFmtId="43" fontId="7" fillId="0" borderId="0" xfId="1" applyFont="1" applyBorder="1"/>
    <xf numFmtId="43" fontId="7" fillId="0" borderId="8" xfId="1" applyFont="1" applyBorder="1"/>
    <xf numFmtId="2" fontId="7" fillId="0" borderId="0" xfId="0" applyNumberFormat="1" applyFont="1" applyBorder="1"/>
    <xf numFmtId="2" fontId="7" fillId="0" borderId="8" xfId="0" applyNumberFormat="1" applyFont="1" applyBorder="1"/>
    <xf numFmtId="43" fontId="7" fillId="0" borderId="0" xfId="1" applyNumberFormat="1" applyFont="1" applyBorder="1"/>
    <xf numFmtId="43" fontId="7" fillId="0" borderId="8" xfId="1" applyNumberFormat="1" applyFont="1" applyBorder="1"/>
    <xf numFmtId="0" fontId="7" fillId="0" borderId="9" xfId="0" applyFont="1" applyBorder="1"/>
    <xf numFmtId="3" fontId="7" fillId="0" borderId="10" xfId="0" applyNumberFormat="1" applyFont="1" applyBorder="1"/>
    <xf numFmtId="3" fontId="7" fillId="0" borderId="11" xfId="0" applyNumberFormat="1" applyFont="1" applyBorder="1"/>
    <xf numFmtId="0" fontId="7" fillId="0" borderId="13" xfId="0" applyFont="1" applyBorder="1"/>
    <xf numFmtId="0" fontId="4" fillId="0" borderId="13" xfId="0" applyFont="1" applyBorder="1" applyAlignment="1">
      <alignment vertical="center"/>
    </xf>
    <xf numFmtId="0" fontId="4" fillId="2" borderId="13" xfId="0" applyFont="1" applyFill="1" applyBorder="1" applyAlignment="1">
      <alignment vertical="center"/>
    </xf>
    <xf numFmtId="0" fontId="4" fillId="2" borderId="13" xfId="0" quotePrefix="1" applyFont="1" applyFill="1" applyBorder="1" applyAlignment="1">
      <alignment vertical="center"/>
    </xf>
    <xf numFmtId="0" fontId="4" fillId="0" borderId="13" xfId="0" quotePrefix="1" applyFont="1" applyBorder="1" applyAlignment="1">
      <alignment vertical="center"/>
    </xf>
    <xf numFmtId="0" fontId="7" fillId="0" borderId="13" xfId="0" quotePrefix="1" applyFont="1" applyBorder="1"/>
    <xf numFmtId="0" fontId="7" fillId="0" borderId="14" xfId="0" quotePrefix="1" applyFont="1" applyBorder="1"/>
    <xf numFmtId="0" fontId="7" fillId="2" borderId="7" xfId="0" applyFont="1" applyFill="1" applyBorder="1"/>
    <xf numFmtId="10" fontId="4" fillId="2" borderId="0" xfId="2" applyNumberFormat="1" applyFont="1" applyFill="1" applyBorder="1"/>
    <xf numFmtId="10" fontId="4" fillId="2" borderId="8" xfId="2" applyNumberFormat="1" applyFont="1" applyFill="1" applyBorder="1"/>
    <xf numFmtId="2" fontId="7" fillId="2" borderId="0" xfId="0" applyNumberFormat="1" applyFont="1" applyFill="1" applyBorder="1"/>
    <xf numFmtId="2" fontId="7" fillId="2" borderId="8" xfId="0" applyNumberFormat="1" applyFont="1" applyFill="1" applyBorder="1"/>
    <xf numFmtId="165" fontId="7" fillId="2" borderId="0" xfId="1" applyNumberFormat="1" applyFont="1" applyFill="1" applyBorder="1"/>
    <xf numFmtId="165" fontId="7" fillId="2" borderId="8" xfId="1" applyNumberFormat="1" applyFont="1" applyFill="1" applyBorder="1"/>
    <xf numFmtId="0" fontId="7" fillId="2" borderId="13" xfId="0" applyFont="1" applyFill="1" applyBorder="1"/>
    <xf numFmtId="0" fontId="7" fillId="2" borderId="13" xfId="0" quotePrefix="1" applyFont="1" applyFill="1" applyBorder="1"/>
    <xf numFmtId="0" fontId="3" fillId="0" borderId="7" xfId="0" applyFont="1" applyBorder="1" applyAlignment="1">
      <alignment vertical="center"/>
    </xf>
    <xf numFmtId="0" fontId="7" fillId="0" borderId="0" xfId="0" applyFont="1" applyBorder="1" applyAlignment="1">
      <alignment horizontal="right"/>
    </xf>
    <xf numFmtId="0" fontId="7" fillId="0" borderId="8" xfId="0" applyFont="1" applyBorder="1" applyAlignment="1">
      <alignment horizontal="right"/>
    </xf>
    <xf numFmtId="3" fontId="7" fillId="3" borderId="0" xfId="0" applyNumberFormat="1" applyFont="1" applyFill="1" applyBorder="1"/>
    <xf numFmtId="3" fontId="7" fillId="3" borderId="8" xfId="0" applyNumberFormat="1" applyFont="1" applyFill="1" applyBorder="1"/>
    <xf numFmtId="0" fontId="5" fillId="0" borderId="13" xfId="0" applyFont="1" applyBorder="1" applyAlignment="1">
      <alignment vertical="center"/>
    </xf>
    <xf numFmtId="43" fontId="7" fillId="2" borderId="10" xfId="1" applyNumberFormat="1" applyFont="1" applyFill="1" applyBorder="1"/>
    <xf numFmtId="43" fontId="7" fillId="2" borderId="11" xfId="1" applyNumberFormat="1" applyFont="1" applyFill="1" applyBorder="1"/>
    <xf numFmtId="0" fontId="13" fillId="0" borderId="0" xfId="0" applyFont="1" applyFill="1"/>
    <xf numFmtId="0" fontId="8" fillId="2" borderId="0" xfId="0" applyFont="1" applyFill="1" applyBorder="1" applyAlignment="1">
      <alignment horizontal="right"/>
    </xf>
    <xf numFmtId="0" fontId="8" fillId="2" borderId="8" xfId="0" applyFont="1" applyFill="1" applyBorder="1" applyAlignment="1">
      <alignment horizontal="right"/>
    </xf>
    <xf numFmtId="0" fontId="5" fillId="2" borderId="2" xfId="0" applyFont="1" applyFill="1" applyBorder="1" applyAlignment="1">
      <alignment vertical="center"/>
    </xf>
    <xf numFmtId="0" fontId="6" fillId="2" borderId="2"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 xfId="0" applyFont="1" applyFill="1" applyBorder="1" applyAlignment="1">
      <alignment vertical="center"/>
    </xf>
    <xf numFmtId="14" fontId="6" fillId="2" borderId="2" xfId="0" applyNumberFormat="1" applyFont="1" applyFill="1" applyBorder="1" applyAlignment="1">
      <alignment horizontal="right" vertical="center"/>
    </xf>
    <xf numFmtId="0" fontId="7" fillId="0" borderId="0" xfId="0" applyFont="1" applyAlignment="1">
      <alignment horizontal="left"/>
    </xf>
    <xf numFmtId="0" fontId="3" fillId="3" borderId="15" xfId="0" applyFont="1" applyFill="1" applyBorder="1" applyAlignment="1">
      <alignment vertical="center"/>
    </xf>
    <xf numFmtId="3" fontId="3" fillId="3" borderId="15" xfId="0" applyNumberFormat="1" applyFont="1" applyFill="1" applyBorder="1" applyAlignment="1">
      <alignment horizontal="right" vertical="center"/>
    </xf>
    <xf numFmtId="3" fontId="8" fillId="3" borderId="15" xfId="0" applyNumberFormat="1" applyFont="1" applyFill="1" applyBorder="1" applyAlignment="1">
      <alignment horizontal="right" vertical="center"/>
    </xf>
    <xf numFmtId="3" fontId="3" fillId="0" borderId="15" xfId="0" applyNumberFormat="1" applyFont="1" applyBorder="1" applyAlignment="1">
      <alignment horizontal="right" vertical="center"/>
    </xf>
    <xf numFmtId="0" fontId="6" fillId="2" borderId="16" xfId="0" applyFont="1" applyFill="1" applyBorder="1" applyAlignment="1">
      <alignment horizontal="left" vertical="center"/>
    </xf>
    <xf numFmtId="3" fontId="4" fillId="3" borderId="1" xfId="0" applyNumberFormat="1" applyFont="1" applyFill="1" applyBorder="1" applyAlignment="1">
      <alignment horizontal="left" vertical="center"/>
    </xf>
    <xf numFmtId="3" fontId="4" fillId="3" borderId="17" xfId="0" applyNumberFormat="1" applyFont="1" applyFill="1" applyBorder="1" applyAlignment="1">
      <alignment horizontal="left" vertical="center"/>
    </xf>
    <xf numFmtId="3" fontId="3" fillId="3" borderId="16" xfId="0" applyNumberFormat="1" applyFont="1" applyFill="1" applyBorder="1" applyAlignment="1">
      <alignment horizontal="left" vertical="center"/>
    </xf>
    <xf numFmtId="3" fontId="3" fillId="3" borderId="1" xfId="0" applyNumberFormat="1" applyFont="1" applyFill="1" applyBorder="1" applyAlignment="1">
      <alignment horizontal="left" vertical="center"/>
    </xf>
    <xf numFmtId="0" fontId="7" fillId="3" borderId="1" xfId="0" applyFont="1" applyFill="1" applyBorder="1" applyAlignment="1">
      <alignment horizontal="left"/>
    </xf>
    <xf numFmtId="0" fontId="7" fillId="0" borderId="1" xfId="0" applyFont="1" applyBorder="1" applyAlignment="1">
      <alignment horizontal="left"/>
    </xf>
    <xf numFmtId="0" fontId="3" fillId="2" borderId="18" xfId="0" applyFont="1" applyFill="1" applyBorder="1" applyAlignment="1">
      <alignment horizontal="left" vertical="center"/>
    </xf>
    <xf numFmtId="0" fontId="4" fillId="3" borderId="1" xfId="0" applyFont="1" applyFill="1" applyBorder="1" applyAlignment="1">
      <alignment horizontal="left" vertical="center"/>
    </xf>
    <xf numFmtId="0" fontId="7" fillId="2" borderId="1" xfId="0" applyFont="1" applyFill="1" applyBorder="1" applyAlignment="1">
      <alignment horizontal="left"/>
    </xf>
    <xf numFmtId="0" fontId="7" fillId="0" borderId="18" xfId="0" applyFont="1" applyBorder="1" applyAlignment="1">
      <alignment horizontal="left"/>
    </xf>
    <xf numFmtId="3" fontId="4" fillId="3" borderId="17"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5" fillId="2" borderId="12" xfId="0" applyFont="1" applyFill="1" applyBorder="1" applyAlignment="1">
      <alignment vertical="center"/>
    </xf>
    <xf numFmtId="0" fontId="0" fillId="2" borderId="10" xfId="0" applyFill="1" applyBorder="1"/>
    <xf numFmtId="0" fontId="7" fillId="2" borderId="0" xfId="0" applyFont="1" applyFill="1" applyBorder="1" applyAlignment="1"/>
    <xf numFmtId="0" fontId="7" fillId="2" borderId="8" xfId="0" applyFont="1" applyFill="1" applyBorder="1" applyAlignment="1"/>
    <xf numFmtId="43" fontId="4" fillId="2" borderId="0" xfId="0" applyNumberFormat="1" applyFont="1" applyFill="1" applyBorder="1" applyAlignment="1"/>
    <xf numFmtId="43" fontId="7" fillId="2" borderId="0" xfId="0" applyNumberFormat="1" applyFont="1" applyFill="1" applyBorder="1" applyAlignment="1"/>
    <xf numFmtId="43" fontId="7" fillId="2" borderId="8" xfId="0" applyNumberFormat="1" applyFont="1" applyFill="1" applyBorder="1" applyAlignment="1"/>
    <xf numFmtId="0" fontId="7" fillId="0" borderId="0" xfId="0" applyFont="1" applyBorder="1" applyAlignment="1"/>
    <xf numFmtId="0" fontId="7" fillId="0" borderId="8" xfId="0" applyFont="1" applyBorder="1" applyAlignment="1"/>
    <xf numFmtId="165" fontId="7" fillId="0" borderId="0" xfId="0" applyNumberFormat="1" applyFont="1" applyBorder="1" applyAlignment="1"/>
    <xf numFmtId="165" fontId="7" fillId="0" borderId="8" xfId="0" applyNumberFormat="1" applyFont="1" applyBorder="1" applyAlignment="1"/>
    <xf numFmtId="43" fontId="7" fillId="0" borderId="0" xfId="0" applyNumberFormat="1" applyFont="1" applyBorder="1" applyAlignment="1"/>
    <xf numFmtId="43" fontId="7" fillId="0" borderId="8" xfId="0" applyNumberFormat="1" applyFont="1" applyBorder="1" applyAlignment="1"/>
    <xf numFmtId="0" fontId="11" fillId="0" borderId="0" xfId="0" applyFont="1"/>
    <xf numFmtId="0" fontId="7" fillId="2" borderId="9" xfId="0" applyFont="1" applyFill="1" applyBorder="1"/>
    <xf numFmtId="3" fontId="4" fillId="3" borderId="17" xfId="0" applyNumberFormat="1" applyFont="1" applyFill="1" applyBorder="1" applyAlignment="1">
      <alignment horizontal="left"/>
    </xf>
    <xf numFmtId="14" fontId="8" fillId="2" borderId="0" xfId="0" applyNumberFormat="1" applyFont="1" applyFill="1" applyBorder="1" applyAlignment="1">
      <alignment horizontal="right"/>
    </xf>
    <xf numFmtId="14" fontId="8" fillId="2" borderId="8" xfId="0" applyNumberFormat="1" applyFont="1" applyFill="1" applyBorder="1" applyAlignment="1">
      <alignment horizontal="right"/>
    </xf>
    <xf numFmtId="0" fontId="4" fillId="0" borderId="0" xfId="0" applyFont="1" applyBorder="1" applyAlignment="1">
      <alignment vertical="center"/>
    </xf>
    <xf numFmtId="0" fontId="5" fillId="0" borderId="0" xfId="0" applyFont="1" applyBorder="1" applyAlignment="1">
      <alignment vertical="center"/>
    </xf>
    <xf numFmtId="14" fontId="5" fillId="2" borderId="0" xfId="0" applyNumberFormat="1" applyFont="1" applyFill="1" applyBorder="1" applyAlignment="1">
      <alignment vertical="center"/>
    </xf>
    <xf numFmtId="0" fontId="14" fillId="0" borderId="0" xfId="0" applyFont="1" applyAlignment="1">
      <alignment vertical="top" wrapText="1"/>
    </xf>
    <xf numFmtId="0" fontId="14" fillId="0" borderId="1" xfId="0" applyFont="1" applyFill="1" applyBorder="1" applyAlignment="1">
      <alignment vertical="top" wrapText="1"/>
    </xf>
    <xf numFmtId="0" fontId="12" fillId="2" borderId="7" xfId="0" applyFont="1" applyFill="1" applyBorder="1"/>
    <xf numFmtId="0" fontId="4" fillId="4" borderId="7" xfId="0" applyFont="1" applyFill="1" applyBorder="1" applyAlignment="1">
      <alignment vertical="center"/>
    </xf>
    <xf numFmtId="0" fontId="4" fillId="4" borderId="13" xfId="0" applyFont="1" applyFill="1" applyBorder="1" applyAlignment="1">
      <alignment vertical="center"/>
    </xf>
    <xf numFmtId="3" fontId="7" fillId="4" borderId="0" xfId="0" applyNumberFormat="1" applyFont="1" applyFill="1" applyBorder="1"/>
    <xf numFmtId="0" fontId="7" fillId="4" borderId="7" xfId="0" applyFont="1" applyFill="1" applyBorder="1"/>
    <xf numFmtId="0" fontId="0" fillId="2" borderId="5" xfId="0" applyFill="1" applyBorder="1"/>
    <xf numFmtId="3" fontId="7" fillId="4" borderId="8" xfId="0" applyNumberFormat="1" applyFont="1" applyFill="1" applyBorder="1"/>
    <xf numFmtId="0" fontId="11" fillId="4" borderId="9" xfId="0" applyFont="1" applyFill="1" applyBorder="1"/>
    <xf numFmtId="0" fontId="0" fillId="4" borderId="10" xfId="0" applyFill="1" applyBorder="1"/>
    <xf numFmtId="0" fontId="7" fillId="4" borderId="10" xfId="0" applyFont="1" applyFill="1" applyBorder="1"/>
    <xf numFmtId="0" fontId="7" fillId="0" borderId="11" xfId="0" applyFont="1" applyBorder="1"/>
    <xf numFmtId="3" fontId="4" fillId="2" borderId="0" xfId="0" applyNumberFormat="1" applyFont="1" applyFill="1" applyBorder="1"/>
    <xf numFmtId="3" fontId="4" fillId="2" borderId="8" xfId="0" applyNumberFormat="1" applyFont="1" applyFill="1" applyBorder="1"/>
    <xf numFmtId="0" fontId="14" fillId="0" borderId="1" xfId="0" applyFont="1" applyBorder="1" applyAlignment="1">
      <alignment vertical="top" wrapText="1"/>
    </xf>
    <xf numFmtId="3" fontId="4" fillId="3" borderId="0" xfId="0" applyNumberFormat="1" applyFont="1" applyFill="1" applyBorder="1" applyAlignment="1">
      <alignment horizontal="left" vertical="center"/>
    </xf>
    <xf numFmtId="3" fontId="3" fillId="3" borderId="0" xfId="0" applyNumberFormat="1" applyFont="1" applyFill="1" applyBorder="1" applyAlignment="1">
      <alignment horizontal="left" vertical="center"/>
    </xf>
    <xf numFmtId="0" fontId="7" fillId="3" borderId="0" xfId="0" applyFont="1" applyFill="1" applyBorder="1" applyAlignment="1">
      <alignment horizontal="left"/>
    </xf>
    <xf numFmtId="0" fontId="7" fillId="0" borderId="0" xfId="0" applyFont="1" applyBorder="1" applyAlignment="1">
      <alignment horizontal="left"/>
    </xf>
    <xf numFmtId="3" fontId="4" fillId="3" borderId="0" xfId="0" applyNumberFormat="1" applyFont="1" applyFill="1" applyBorder="1" applyAlignment="1">
      <alignment horizontal="right" vertical="center"/>
    </xf>
    <xf numFmtId="165" fontId="4" fillId="3" borderId="0" xfId="1" applyNumberFormat="1" applyFont="1" applyFill="1" applyBorder="1" applyAlignment="1">
      <alignment horizontal="right" vertical="center"/>
    </xf>
    <xf numFmtId="14" fontId="6" fillId="2" borderId="2" xfId="0" applyNumberFormat="1" applyFont="1" applyFill="1" applyBorder="1" applyAlignment="1">
      <alignment vertical="center"/>
    </xf>
    <xf numFmtId="3" fontId="4" fillId="3" borderId="0" xfId="0" applyNumberFormat="1" applyFont="1" applyFill="1" applyAlignment="1">
      <alignment vertical="center"/>
    </xf>
    <xf numFmtId="0" fontId="7" fillId="3" borderId="0" xfId="0" applyFont="1" applyFill="1" applyAlignment="1"/>
    <xf numFmtId="0" fontId="4" fillId="3" borderId="0" xfId="0" applyFont="1" applyFill="1" applyBorder="1" applyAlignment="1">
      <alignment vertical="center"/>
    </xf>
    <xf numFmtId="0" fontId="7" fillId="3" borderId="0" xfId="0" applyFont="1" applyFill="1" applyBorder="1" applyAlignment="1"/>
    <xf numFmtId="3" fontId="3" fillId="3" borderId="0" xfId="0" applyNumberFormat="1" applyFont="1" applyFill="1" applyBorder="1" applyAlignment="1">
      <alignment horizontal="right" vertical="center"/>
    </xf>
    <xf numFmtId="0" fontId="7" fillId="0" borderId="0" xfId="0" applyFont="1" applyAlignment="1">
      <alignment horizontal="right"/>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4FD2E-4AF7-498C-933B-CE093A8409ED}">
  <sheetPr>
    <pageSetUpPr fitToPage="1"/>
  </sheetPr>
  <dimension ref="A1:G25"/>
  <sheetViews>
    <sheetView topLeftCell="C1" zoomScale="93" zoomScaleNormal="93" workbookViewId="0">
      <selection activeCell="F25" sqref="F25"/>
    </sheetView>
  </sheetViews>
  <sheetFormatPr baseColWidth="10" defaultRowHeight="12.75" x14ac:dyDescent="0.2"/>
  <cols>
    <col min="1" max="1" width="27" hidden="1" customWidth="1"/>
    <col min="2" max="2" width="21.7109375" hidden="1" customWidth="1"/>
    <col min="3" max="3" width="29" customWidth="1"/>
    <col min="4" max="4" width="93.42578125" customWidth="1"/>
    <col min="5" max="5" width="99.140625" customWidth="1"/>
    <col min="6" max="6" width="38.85546875" bestFit="1" customWidth="1"/>
    <col min="7" max="7" width="37.7109375" customWidth="1"/>
  </cols>
  <sheetData>
    <row r="1" spans="1:7" ht="26.25" x14ac:dyDescent="0.4">
      <c r="C1" s="88" t="s">
        <v>10</v>
      </c>
      <c r="D1" s="8"/>
    </row>
    <row r="3" spans="1:7" x14ac:dyDescent="0.2">
      <c r="C3" s="4"/>
      <c r="D3" s="5" t="s">
        <v>13</v>
      </c>
      <c r="E3" s="5" t="s">
        <v>14</v>
      </c>
      <c r="F3" s="4" t="s">
        <v>15</v>
      </c>
    </row>
    <row r="4" spans="1:7" x14ac:dyDescent="0.2">
      <c r="A4" t="s">
        <v>11</v>
      </c>
      <c r="B4" t="s">
        <v>12</v>
      </c>
      <c r="C4" s="4"/>
      <c r="D4" s="5" t="s">
        <v>0</v>
      </c>
      <c r="E4" s="5" t="s">
        <v>1</v>
      </c>
      <c r="F4" s="4" t="s">
        <v>2</v>
      </c>
    </row>
    <row r="5" spans="1:7" ht="51" x14ac:dyDescent="0.2">
      <c r="A5" s="1"/>
      <c r="B5" s="1"/>
      <c r="C5" s="2" t="s">
        <v>52</v>
      </c>
      <c r="D5" s="3" t="s">
        <v>47</v>
      </c>
      <c r="E5" s="3" t="s">
        <v>3</v>
      </c>
      <c r="F5" s="2" t="s">
        <v>107</v>
      </c>
      <c r="G5" s="2"/>
    </row>
    <row r="6" spans="1:7" ht="38.25" x14ac:dyDescent="0.2">
      <c r="A6" s="1"/>
      <c r="B6" s="1"/>
      <c r="C6" s="6" t="s">
        <v>26</v>
      </c>
      <c r="D6" s="7" t="s">
        <v>4</v>
      </c>
      <c r="E6" s="7" t="s">
        <v>5</v>
      </c>
      <c r="F6" s="6" t="s">
        <v>57</v>
      </c>
    </row>
    <row r="7" spans="1:7" ht="51" x14ac:dyDescent="0.2">
      <c r="A7" s="1"/>
      <c r="B7" s="1"/>
      <c r="C7" s="2" t="s">
        <v>27</v>
      </c>
      <c r="D7" s="3" t="s">
        <v>53</v>
      </c>
      <c r="E7" s="3" t="s">
        <v>219</v>
      </c>
      <c r="F7" s="2" t="s">
        <v>58</v>
      </c>
    </row>
    <row r="8" spans="1:7" ht="38.25" x14ac:dyDescent="0.2">
      <c r="C8" s="6" t="s">
        <v>16</v>
      </c>
      <c r="D8" s="7" t="s">
        <v>54</v>
      </c>
      <c r="E8" s="7" t="s">
        <v>55</v>
      </c>
      <c r="F8" s="6" t="s">
        <v>56</v>
      </c>
      <c r="G8" s="9"/>
    </row>
    <row r="9" spans="1:7" ht="51" x14ac:dyDescent="0.2">
      <c r="C9" s="2" t="s">
        <v>17</v>
      </c>
      <c r="D9" s="3" t="s">
        <v>220</v>
      </c>
      <c r="E9" s="3" t="s">
        <v>221</v>
      </c>
      <c r="F9" s="2" t="s">
        <v>206</v>
      </c>
      <c r="G9" s="9"/>
    </row>
    <row r="10" spans="1:7" ht="25.5" x14ac:dyDescent="0.2">
      <c r="C10" s="6" t="s">
        <v>6</v>
      </c>
      <c r="D10" s="7" t="s">
        <v>19</v>
      </c>
      <c r="E10" s="7" t="s">
        <v>7</v>
      </c>
      <c r="F10" s="6" t="s">
        <v>18</v>
      </c>
    </row>
    <row r="11" spans="1:7" ht="51" x14ac:dyDescent="0.2">
      <c r="C11" s="2" t="s">
        <v>29</v>
      </c>
      <c r="D11" s="3" t="s">
        <v>59</v>
      </c>
      <c r="E11" s="3" t="s">
        <v>31</v>
      </c>
      <c r="F11" s="2" t="s">
        <v>31</v>
      </c>
    </row>
    <row r="12" spans="1:7" ht="54.75" customHeight="1" x14ac:dyDescent="0.2">
      <c r="C12" s="6" t="s">
        <v>8</v>
      </c>
      <c r="D12" s="7" t="s">
        <v>20</v>
      </c>
      <c r="E12" s="7" t="s">
        <v>9</v>
      </c>
      <c r="F12" s="6" t="s">
        <v>60</v>
      </c>
    </row>
    <row r="13" spans="1:7" ht="89.25" x14ac:dyDescent="0.2">
      <c r="C13" s="2" t="s">
        <v>30</v>
      </c>
      <c r="D13" s="3" t="s">
        <v>22</v>
      </c>
      <c r="E13" s="3" t="s">
        <v>21</v>
      </c>
      <c r="F13" s="2" t="s">
        <v>222</v>
      </c>
    </row>
    <row r="14" spans="1:7" ht="51" x14ac:dyDescent="0.2">
      <c r="C14" s="6" t="s">
        <v>23</v>
      </c>
      <c r="D14" s="7" t="s">
        <v>24</v>
      </c>
      <c r="E14" s="7" t="s">
        <v>25</v>
      </c>
      <c r="F14" s="6" t="s">
        <v>223</v>
      </c>
    </row>
    <row r="15" spans="1:7" ht="25.5" x14ac:dyDescent="0.2">
      <c r="C15" s="135" t="s">
        <v>28</v>
      </c>
      <c r="D15" s="150" t="s">
        <v>45</v>
      </c>
      <c r="E15" s="150" t="s">
        <v>46</v>
      </c>
      <c r="F15" s="135" t="s">
        <v>51</v>
      </c>
    </row>
    <row r="16" spans="1:7" ht="38.25" x14ac:dyDescent="0.2">
      <c r="C16" s="6" t="s">
        <v>48</v>
      </c>
      <c r="D16" s="7" t="s">
        <v>224</v>
      </c>
      <c r="E16" s="7" t="s">
        <v>225</v>
      </c>
      <c r="F16" s="6" t="s">
        <v>61</v>
      </c>
    </row>
    <row r="17" spans="3:6" ht="25.5" x14ac:dyDescent="0.2">
      <c r="C17" s="2" t="s">
        <v>32</v>
      </c>
      <c r="D17" s="3" t="s">
        <v>49</v>
      </c>
      <c r="E17" s="3" t="s">
        <v>50</v>
      </c>
      <c r="F17" s="2" t="s">
        <v>62</v>
      </c>
    </row>
    <row r="18" spans="3:6" ht="51" x14ac:dyDescent="0.2">
      <c r="C18" s="6" t="s">
        <v>33</v>
      </c>
      <c r="D18" s="7" t="s">
        <v>34</v>
      </c>
      <c r="E18" s="7" t="s">
        <v>226</v>
      </c>
      <c r="F18" s="6" t="s">
        <v>227</v>
      </c>
    </row>
    <row r="19" spans="3:6" ht="25.5" x14ac:dyDescent="0.2">
      <c r="C19" s="2" t="s">
        <v>36</v>
      </c>
      <c r="D19" s="3" t="s">
        <v>37</v>
      </c>
      <c r="E19" s="3" t="s">
        <v>41</v>
      </c>
      <c r="F19" s="2" t="s">
        <v>42</v>
      </c>
    </row>
    <row r="20" spans="3:6" ht="38.25" x14ac:dyDescent="0.2">
      <c r="C20" s="6" t="s">
        <v>35</v>
      </c>
      <c r="D20" s="7" t="s">
        <v>38</v>
      </c>
      <c r="E20" s="7" t="s">
        <v>43</v>
      </c>
      <c r="F20" s="6" t="s">
        <v>44</v>
      </c>
    </row>
    <row r="21" spans="3:6" ht="38.25" x14ac:dyDescent="0.2">
      <c r="C21" s="2" t="s">
        <v>39</v>
      </c>
      <c r="D21" s="3" t="s">
        <v>40</v>
      </c>
      <c r="E21" s="3" t="s">
        <v>228</v>
      </c>
      <c r="F21" s="2" t="s">
        <v>229</v>
      </c>
    </row>
    <row r="22" spans="3:6" ht="38.25" x14ac:dyDescent="0.2">
      <c r="C22" s="6" t="s">
        <v>63</v>
      </c>
      <c r="D22" s="7" t="s">
        <v>68</v>
      </c>
      <c r="E22" s="7" t="s">
        <v>66</v>
      </c>
      <c r="F22" s="6" t="s">
        <v>67</v>
      </c>
    </row>
    <row r="23" spans="3:6" ht="51" x14ac:dyDescent="0.2">
      <c r="C23" s="2" t="s">
        <v>64</v>
      </c>
      <c r="D23" s="3" t="s">
        <v>69</v>
      </c>
      <c r="E23" s="3" t="s">
        <v>70</v>
      </c>
      <c r="F23" s="2" t="s">
        <v>230</v>
      </c>
    </row>
    <row r="24" spans="3:6" ht="51" x14ac:dyDescent="0.2">
      <c r="C24" s="6" t="s">
        <v>65</v>
      </c>
      <c r="D24" s="7" t="s">
        <v>71</v>
      </c>
      <c r="E24" s="7" t="s">
        <v>72</v>
      </c>
      <c r="F24" s="6" t="s">
        <v>231</v>
      </c>
    </row>
    <row r="25" spans="3:6" ht="51" x14ac:dyDescent="0.2">
      <c r="C25" s="135" t="s">
        <v>210</v>
      </c>
      <c r="D25" s="136" t="s">
        <v>212</v>
      </c>
      <c r="E25" s="136" t="s">
        <v>213</v>
      </c>
      <c r="F25" s="135" t="s">
        <v>211</v>
      </c>
    </row>
  </sheetData>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D05A-FD6C-4EF1-80E9-F3D5DE1541D1}">
  <dimension ref="A1:P105"/>
  <sheetViews>
    <sheetView tabSelected="1" topLeftCell="A72" workbookViewId="0">
      <selection activeCell="B102" sqref="B102"/>
    </sheetView>
  </sheetViews>
  <sheetFormatPr baseColWidth="10" defaultRowHeight="12.75" x14ac:dyDescent="0.2"/>
  <cols>
    <col min="1" max="1" width="66" customWidth="1"/>
    <col min="2" max="2" width="30.28515625" customWidth="1"/>
    <col min="3" max="6" width="11.140625" customWidth="1"/>
    <col min="7" max="12" width="11.140625" style="29" customWidth="1"/>
    <col min="13" max="13" width="11.42578125" style="29"/>
  </cols>
  <sheetData>
    <row r="1" spans="1:16" ht="19.5" x14ac:dyDescent="0.25">
      <c r="A1" s="34" t="s">
        <v>200</v>
      </c>
      <c r="B1" s="38"/>
      <c r="C1" s="38"/>
      <c r="D1" s="38"/>
      <c r="E1" s="38"/>
      <c r="F1" s="38"/>
      <c r="G1" s="35"/>
      <c r="H1" s="35"/>
      <c r="I1" s="35"/>
      <c r="J1" s="35"/>
      <c r="K1" s="35"/>
      <c r="L1" s="36"/>
    </row>
    <row r="2" spans="1:16" ht="13.5" thickBot="1" x14ac:dyDescent="0.25">
      <c r="A2" s="37"/>
      <c r="B2" s="115"/>
      <c r="C2" s="38"/>
      <c r="D2" s="38"/>
      <c r="E2" s="38"/>
      <c r="F2" s="38"/>
      <c r="G2" s="39"/>
      <c r="H2" s="39"/>
      <c r="I2" s="39"/>
      <c r="J2" s="39"/>
      <c r="K2" s="39"/>
      <c r="L2" s="40"/>
    </row>
    <row r="3" spans="1:16" x14ac:dyDescent="0.2">
      <c r="A3" s="41" t="s">
        <v>194</v>
      </c>
      <c r="B3" s="114" t="s">
        <v>122</v>
      </c>
      <c r="C3" s="89" t="str">
        <f>+Grunnlagstall!C2</f>
        <v>3. kv. 23</v>
      </c>
      <c r="D3" s="89" t="str">
        <f>+Grunnlagstall!D2</f>
        <v>2. kv. 23</v>
      </c>
      <c r="E3" s="89" t="str">
        <f>+Grunnlagstall!E2</f>
        <v>1. kv. 23</v>
      </c>
      <c r="F3" s="89" t="str">
        <f>+Grunnlagstall!F2</f>
        <v>4. kv. 22</v>
      </c>
      <c r="G3" s="89" t="str">
        <f>+Grunnlagstall!G2</f>
        <v>3. kv. 22</v>
      </c>
      <c r="H3" s="89" t="str">
        <f>+Grunnlagstall!H2</f>
        <v>2. kv. 22</v>
      </c>
      <c r="I3" s="89" t="str">
        <f>+Grunnlagstall!I2</f>
        <v>1. kv. 22</v>
      </c>
      <c r="J3" s="89" t="str">
        <f>+Grunnlagstall!J2</f>
        <v>4. kv. 21</v>
      </c>
      <c r="K3" s="89" t="str">
        <f>+Grunnlagstall!K2</f>
        <v>3. kv. 21</v>
      </c>
      <c r="L3" s="90" t="str">
        <f>+Grunnlagstall!L2</f>
        <v>2. kv. 21</v>
      </c>
    </row>
    <row r="4" spans="1:16" x14ac:dyDescent="0.2">
      <c r="A4" s="42" t="s">
        <v>109</v>
      </c>
      <c r="B4" s="64" t="s">
        <v>117</v>
      </c>
      <c r="C4" s="43">
        <f>31+31+30</f>
        <v>92</v>
      </c>
      <c r="D4" s="43">
        <f>30+31+30</f>
        <v>91</v>
      </c>
      <c r="E4" s="43">
        <f>31+28+31</f>
        <v>90</v>
      </c>
      <c r="F4" s="43">
        <f>31+30+31</f>
        <v>92</v>
      </c>
      <c r="G4" s="43">
        <f>31+31+30</f>
        <v>92</v>
      </c>
      <c r="H4" s="43">
        <f>30+31+30</f>
        <v>91</v>
      </c>
      <c r="I4" s="43">
        <f>31+28+31</f>
        <v>90</v>
      </c>
      <c r="J4" s="43">
        <f>31+30+31</f>
        <v>92</v>
      </c>
      <c r="K4" s="43">
        <f>31+31+30</f>
        <v>92</v>
      </c>
      <c r="L4" s="44">
        <f>30+31+30</f>
        <v>91</v>
      </c>
      <c r="N4" s="29"/>
    </row>
    <row r="5" spans="1:16" x14ac:dyDescent="0.2">
      <c r="A5" s="45" t="s">
        <v>147</v>
      </c>
      <c r="B5" s="65" t="s">
        <v>118</v>
      </c>
      <c r="C5" s="46">
        <f>+Grunnlagstall!C25</f>
        <v>22008435</v>
      </c>
      <c r="D5" s="46">
        <f>+Grunnlagstall!D25</f>
        <v>22043171</v>
      </c>
      <c r="E5" s="46">
        <f>+Grunnlagstall!E25</f>
        <v>22199993</v>
      </c>
      <c r="F5" s="46">
        <f>+Grunnlagstall!F25</f>
        <v>22017068</v>
      </c>
      <c r="G5" s="46">
        <f>+Grunnlagstall!G25</f>
        <v>21876830</v>
      </c>
      <c r="H5" s="46">
        <f>+Grunnlagstall!H25</f>
        <v>21530095</v>
      </c>
      <c r="I5" s="46">
        <f>+Grunnlagstall!I25</f>
        <v>21067720</v>
      </c>
      <c r="J5" s="46">
        <f>+Grunnlagstall!J25</f>
        <v>20799417</v>
      </c>
      <c r="K5" s="46">
        <f>+Grunnlagstall!K25</f>
        <v>20357446</v>
      </c>
      <c r="L5" s="47">
        <f>+Grunnlagstall!L25</f>
        <v>19581558</v>
      </c>
      <c r="M5" s="33"/>
      <c r="N5" s="33"/>
      <c r="O5" s="22"/>
      <c r="P5" s="22"/>
    </row>
    <row r="6" spans="1:16" x14ac:dyDescent="0.2">
      <c r="A6" s="45" t="s">
        <v>106</v>
      </c>
      <c r="B6" s="65" t="s">
        <v>119</v>
      </c>
      <c r="C6" s="46">
        <f>+Grunnlagstall!C27</f>
        <v>87</v>
      </c>
      <c r="D6" s="46">
        <f>+Grunnlagstall!D27</f>
        <v>89.51</v>
      </c>
      <c r="E6" s="46">
        <f>+Grunnlagstall!E27</f>
        <v>89.51</v>
      </c>
      <c r="F6" s="46">
        <f>+Grunnlagstall!F27</f>
        <v>90</v>
      </c>
      <c r="G6" s="46">
        <f>+Grunnlagstall!G27</f>
        <v>88</v>
      </c>
      <c r="H6" s="46">
        <f>+Grunnlagstall!H27</f>
        <v>88</v>
      </c>
      <c r="I6" s="46">
        <f>+Grunnlagstall!I27</f>
        <v>88</v>
      </c>
      <c r="J6" s="46">
        <f>+Grunnlagstall!J27</f>
        <v>89</v>
      </c>
      <c r="K6" s="46">
        <f>+Grunnlagstall!K27</f>
        <v>90</v>
      </c>
      <c r="L6" s="47">
        <f>+Grunnlagstall!L27</f>
        <v>88.7</v>
      </c>
      <c r="M6" s="33"/>
      <c r="N6" s="33"/>
      <c r="O6" s="22"/>
      <c r="P6" s="22"/>
    </row>
    <row r="7" spans="1:16" x14ac:dyDescent="0.2">
      <c r="A7" s="45"/>
      <c r="B7" s="65"/>
      <c r="C7" s="132"/>
      <c r="D7" s="132"/>
      <c r="E7" s="132"/>
      <c r="F7" s="132"/>
      <c r="G7" s="46"/>
      <c r="H7" s="46"/>
      <c r="I7" s="46"/>
      <c r="J7" s="46"/>
      <c r="K7" s="46"/>
      <c r="L7" s="47"/>
      <c r="M7" s="33"/>
      <c r="N7" s="33"/>
      <c r="O7" s="22"/>
      <c r="P7" s="22"/>
    </row>
    <row r="8" spans="1:16" x14ac:dyDescent="0.2">
      <c r="A8" s="48" t="s">
        <v>108</v>
      </c>
      <c r="B8" s="66" t="s">
        <v>120</v>
      </c>
      <c r="C8" s="49">
        <f>+Grunnlagstall!C3</f>
        <v>134172.51399999997</v>
      </c>
      <c r="D8" s="49">
        <f>+Grunnlagstall!D3</f>
        <v>127620</v>
      </c>
      <c r="E8" s="49">
        <f>+Grunnlagstall!E3</f>
        <v>122912.47058000037</v>
      </c>
      <c r="F8" s="49">
        <f>+Grunnlagstall!F3</f>
        <v>120434.41103999513</v>
      </c>
      <c r="G8" s="49">
        <f>+Grunnlagstall!G3</f>
        <v>108464.64311999807</v>
      </c>
      <c r="H8" s="49">
        <f>+Grunnlagstall!H3</f>
        <v>97112.087430000218</v>
      </c>
      <c r="I8" s="49">
        <f>+Grunnlagstall!I3</f>
        <v>91273.909800000023</v>
      </c>
      <c r="J8" s="49">
        <f>+Grunnlagstall!J3</f>
        <v>92824.220439999801</v>
      </c>
      <c r="K8" s="49">
        <f>+Grunnlagstall!K3</f>
        <v>91305.793680001574</v>
      </c>
      <c r="L8" s="50">
        <f>+Grunnlagstall!L3</f>
        <v>83882.61893999936</v>
      </c>
      <c r="N8" s="29"/>
    </row>
    <row r="9" spans="1:16" x14ac:dyDescent="0.2">
      <c r="A9" s="48" t="s">
        <v>110</v>
      </c>
      <c r="B9" s="67" t="s">
        <v>121</v>
      </c>
      <c r="C9" s="51">
        <f>+C8*365/C$4/C$5</f>
        <v>2.4186856781324376E-2</v>
      </c>
      <c r="D9" s="51">
        <f>+D8*365/D$4/D$5</f>
        <v>2.3221814029497734E-2</v>
      </c>
      <c r="E9" s="51">
        <f>+E8*365/E$4/E$5</f>
        <v>2.2453986940796752E-2</v>
      </c>
      <c r="F9" s="51">
        <f>+F8*365/F$4/F$5</f>
        <v>2.1701819474978616E-2</v>
      </c>
      <c r="G9" s="51">
        <f>+G8*365/G$4/G$5</f>
        <v>1.9670202764453106E-2</v>
      </c>
      <c r="H9" s="51">
        <f t="shared" ref="H9:L9" si="0">+H8*365/H$4/H$5</f>
        <v>1.8091676581823486E-2</v>
      </c>
      <c r="I9" s="51">
        <f t="shared" si="0"/>
        <v>1.7570311925859408E-2</v>
      </c>
      <c r="J9" s="51">
        <f t="shared" si="0"/>
        <v>1.7705784974959681E-2</v>
      </c>
      <c r="K9" s="51">
        <f t="shared" si="0"/>
        <v>1.7794266131547883E-2</v>
      </c>
      <c r="L9" s="52">
        <f t="shared" si="0"/>
        <v>1.7182098726838596E-2</v>
      </c>
      <c r="N9" s="29"/>
    </row>
    <row r="10" spans="1:16" x14ac:dyDescent="0.2">
      <c r="A10" s="45"/>
      <c r="B10" s="65"/>
      <c r="C10" s="132"/>
      <c r="D10" s="132"/>
      <c r="E10" s="132"/>
      <c r="F10" s="132"/>
      <c r="G10" s="43"/>
      <c r="H10" s="43"/>
      <c r="I10" s="43"/>
      <c r="J10" s="43"/>
      <c r="K10" s="43"/>
      <c r="L10" s="44"/>
      <c r="N10" s="29"/>
    </row>
    <row r="11" spans="1:16" x14ac:dyDescent="0.2">
      <c r="A11" s="45" t="s">
        <v>111</v>
      </c>
      <c r="B11" s="65" t="s">
        <v>123</v>
      </c>
      <c r="C11" s="46">
        <f>+Grunnlagstall!C4</f>
        <v>20671.456999999995</v>
      </c>
      <c r="D11" s="46">
        <f>+Grunnlagstall!D4</f>
        <v>59673</v>
      </c>
      <c r="E11" s="46">
        <f>+Grunnlagstall!E4</f>
        <v>14331.357110000004</v>
      </c>
      <c r="F11" s="46">
        <f>+Grunnlagstall!F4</f>
        <v>19619.628360000021</v>
      </c>
      <c r="G11" s="46">
        <f>+Grunnlagstall!G4</f>
        <v>15911.379879999997</v>
      </c>
      <c r="H11" s="46">
        <f>+Grunnlagstall!H4</f>
        <v>48918.133840000017</v>
      </c>
      <c r="I11" s="46">
        <f>+Grunnlagstall!I4</f>
        <v>19655.227310000009</v>
      </c>
      <c r="J11" s="46">
        <f>+Grunnlagstall!J4</f>
        <v>30342.353779999998</v>
      </c>
      <c r="K11" s="46">
        <f>+Grunnlagstall!K4</f>
        <v>20624.387350000019</v>
      </c>
      <c r="L11" s="47">
        <f>+Grunnlagstall!L4</f>
        <v>42648.009240000007</v>
      </c>
      <c r="N11" s="29"/>
    </row>
    <row r="12" spans="1:16" x14ac:dyDescent="0.2">
      <c r="A12" s="45" t="s">
        <v>73</v>
      </c>
      <c r="B12" s="68" t="s">
        <v>125</v>
      </c>
      <c r="C12" s="53">
        <f>+C11*365/C$4/C$5</f>
        <v>3.7263784885204231E-3</v>
      </c>
      <c r="D12" s="53">
        <f>+D11*365/D$4/D$5</f>
        <v>1.0858135939368581E-2</v>
      </c>
      <c r="E12" s="53">
        <f>+E11*365/E$4/E$5</f>
        <v>2.6180915888627141E-3</v>
      </c>
      <c r="F12" s="53">
        <f>+F11*365/F$4/F$5</f>
        <v>3.5353818660141343E-3</v>
      </c>
      <c r="G12" s="53">
        <f>+G11*365/G$4/G$5</f>
        <v>2.8855492398161412E-3</v>
      </c>
      <c r="H12" s="53">
        <f t="shared" ref="H12:L12" si="1">+H11*365/H$4/H$5</f>
        <v>9.1132945428401384E-3</v>
      </c>
      <c r="I12" s="53">
        <f t="shared" si="1"/>
        <v>3.7836494083259994E-3</v>
      </c>
      <c r="J12" s="53">
        <f t="shared" si="1"/>
        <v>5.7876617666840083E-3</v>
      </c>
      <c r="K12" s="53">
        <f t="shared" si="1"/>
        <v>4.019414568501932E-3</v>
      </c>
      <c r="L12" s="54">
        <f t="shared" si="1"/>
        <v>8.7358062316695035E-3</v>
      </c>
      <c r="N12" s="29"/>
    </row>
    <row r="13" spans="1:16" x14ac:dyDescent="0.2">
      <c r="A13" s="45"/>
      <c r="B13" s="65"/>
      <c r="C13" s="132"/>
      <c r="D13" s="132"/>
      <c r="E13" s="132"/>
      <c r="F13" s="132"/>
      <c r="G13" s="43"/>
      <c r="H13" s="43"/>
      <c r="I13" s="43"/>
      <c r="J13" s="43"/>
      <c r="K13" s="43"/>
      <c r="L13" s="44"/>
      <c r="N13" s="29"/>
    </row>
    <row r="14" spans="1:16" x14ac:dyDescent="0.2">
      <c r="A14" s="48" t="s">
        <v>112</v>
      </c>
      <c r="B14" s="66" t="s">
        <v>124</v>
      </c>
      <c r="C14" s="49">
        <f>+Grunnlagstall!C5</f>
        <v>49297.058000000005</v>
      </c>
      <c r="D14" s="49">
        <f>+Grunnlagstall!D5</f>
        <v>52326</v>
      </c>
      <c r="E14" s="49">
        <f>+Grunnlagstall!E5</f>
        <v>53553.157949999993</v>
      </c>
      <c r="F14" s="49">
        <f>+Grunnlagstall!F5</f>
        <v>51412.216880000051</v>
      </c>
      <c r="G14" s="49">
        <f>+Grunnlagstall!G5</f>
        <v>44716.389009999992</v>
      </c>
      <c r="H14" s="49">
        <f>+Grunnlagstall!H5</f>
        <v>46401.000479999988</v>
      </c>
      <c r="I14" s="49">
        <f>+Grunnlagstall!I5</f>
        <v>50218.960200000001</v>
      </c>
      <c r="J14" s="49">
        <f>+Grunnlagstall!J5</f>
        <v>48305.224680000043</v>
      </c>
      <c r="K14" s="49">
        <f>+Grunnlagstall!K5</f>
        <v>41763.852719999981</v>
      </c>
      <c r="L14" s="50">
        <f>+Grunnlagstall!L5</f>
        <v>64942.500680000005</v>
      </c>
      <c r="N14" s="29"/>
    </row>
    <row r="15" spans="1:16" x14ac:dyDescent="0.2">
      <c r="A15" s="48" t="s">
        <v>74</v>
      </c>
      <c r="B15" s="67" t="s">
        <v>126</v>
      </c>
      <c r="C15" s="51">
        <f>+C14*365/C$4/C$5</f>
        <v>8.8866254796913288E-3</v>
      </c>
      <c r="D15" s="51">
        <f>+D14*365/D$4/D$5</f>
        <v>9.5212712812059123E-3</v>
      </c>
      <c r="E15" s="51">
        <f>+E14*365/E$4/E$5</f>
        <v>9.7832376452400976E-3</v>
      </c>
      <c r="F15" s="51">
        <f>+F14*365/F$4/F$5</f>
        <v>9.2642845172189459E-3</v>
      </c>
      <c r="G15" s="51">
        <f>+G14*365/G$4/G$5</f>
        <v>8.1093747549397556E-3</v>
      </c>
      <c r="H15" s="51">
        <f t="shared" ref="H15:L15" si="2">+H14*365/H$4/H$5</f>
        <v>8.6443605113760893E-3</v>
      </c>
      <c r="I15" s="51">
        <f t="shared" si="2"/>
        <v>9.6671962145563617E-3</v>
      </c>
      <c r="J15" s="51">
        <f t="shared" si="2"/>
        <v>9.2139951975577089E-3</v>
      </c>
      <c r="K15" s="51">
        <f t="shared" si="2"/>
        <v>8.139210887131482E-3</v>
      </c>
      <c r="L15" s="52">
        <f t="shared" si="2"/>
        <v>1.3302499043928292E-2</v>
      </c>
      <c r="N15" s="29"/>
    </row>
    <row r="16" spans="1:16" x14ac:dyDescent="0.2">
      <c r="A16" s="45"/>
      <c r="B16" s="65"/>
      <c r="C16" s="43"/>
      <c r="D16" s="43"/>
      <c r="E16" s="43"/>
      <c r="F16" s="43"/>
      <c r="G16" s="43"/>
      <c r="H16" s="43"/>
      <c r="I16" s="43"/>
      <c r="J16" s="43"/>
      <c r="K16" s="43"/>
      <c r="L16" s="44"/>
      <c r="N16" s="29"/>
    </row>
    <row r="17" spans="1:14" x14ac:dyDescent="0.2">
      <c r="A17" s="45" t="s">
        <v>112</v>
      </c>
      <c r="B17" s="65" t="s">
        <v>124</v>
      </c>
      <c r="C17" s="46">
        <f>+C14</f>
        <v>49297.058000000005</v>
      </c>
      <c r="D17" s="46">
        <f>+D14</f>
        <v>52326</v>
      </c>
      <c r="E17" s="46">
        <f>+E14</f>
        <v>53553.157949999993</v>
      </c>
      <c r="F17" s="46">
        <f>+F14</f>
        <v>51412.216880000051</v>
      </c>
      <c r="G17" s="46">
        <f>+G14</f>
        <v>44716.389009999992</v>
      </c>
      <c r="H17" s="46">
        <f t="shared" ref="H17:L17" si="3">+H14</f>
        <v>46401.000479999988</v>
      </c>
      <c r="I17" s="46">
        <f t="shared" si="3"/>
        <v>50218.960200000001</v>
      </c>
      <c r="J17" s="46">
        <f t="shared" si="3"/>
        <v>48305.224680000043</v>
      </c>
      <c r="K17" s="46">
        <f t="shared" si="3"/>
        <v>41763.852719999981</v>
      </c>
      <c r="L17" s="47">
        <f t="shared" si="3"/>
        <v>64942.500680000005</v>
      </c>
      <c r="N17" s="29"/>
    </row>
    <row r="18" spans="1:14" x14ac:dyDescent="0.2">
      <c r="A18" s="45" t="s">
        <v>108</v>
      </c>
      <c r="B18" s="65" t="s">
        <v>120</v>
      </c>
      <c r="C18" s="46">
        <f>+Grunnlagstall!C3</f>
        <v>134172.51399999997</v>
      </c>
      <c r="D18" s="46">
        <f>+Grunnlagstall!D3</f>
        <v>127620</v>
      </c>
      <c r="E18" s="46">
        <f>+Grunnlagstall!E3</f>
        <v>122912.47058000037</v>
      </c>
      <c r="F18" s="46">
        <f>+Grunnlagstall!F3</f>
        <v>120434.41103999513</v>
      </c>
      <c r="G18" s="46">
        <f>+Grunnlagstall!G3</f>
        <v>108464.64311999807</v>
      </c>
      <c r="H18" s="46">
        <f>+Grunnlagstall!H3</f>
        <v>97112.087430000218</v>
      </c>
      <c r="I18" s="46">
        <f>+Grunnlagstall!I3</f>
        <v>91273.909800000023</v>
      </c>
      <c r="J18" s="46">
        <f>+Grunnlagstall!J3</f>
        <v>92824.220439999801</v>
      </c>
      <c r="K18" s="46">
        <f>+Grunnlagstall!K3</f>
        <v>91305.793680001574</v>
      </c>
      <c r="L18" s="47">
        <f>+Grunnlagstall!L3</f>
        <v>83882.61893999936</v>
      </c>
      <c r="N18" s="29"/>
    </row>
    <row r="19" spans="1:14" x14ac:dyDescent="0.2">
      <c r="A19" s="45" t="s">
        <v>111</v>
      </c>
      <c r="B19" s="65" t="str">
        <f>+B11</f>
        <v>A5</v>
      </c>
      <c r="C19" s="46">
        <f>+Grunnlagstall!C4</f>
        <v>20671.456999999995</v>
      </c>
      <c r="D19" s="46">
        <f>+Grunnlagstall!D4</f>
        <v>59673</v>
      </c>
      <c r="E19" s="46">
        <f>+Grunnlagstall!E4</f>
        <v>14331.357110000004</v>
      </c>
      <c r="F19" s="46">
        <f>+Grunnlagstall!F4</f>
        <v>19619.628360000021</v>
      </c>
      <c r="G19" s="46">
        <f>+Grunnlagstall!G4</f>
        <v>15911.379879999997</v>
      </c>
      <c r="H19" s="46">
        <f>+Grunnlagstall!H4</f>
        <v>48918.133840000017</v>
      </c>
      <c r="I19" s="46">
        <f>+Grunnlagstall!I4</f>
        <v>19655.227310000009</v>
      </c>
      <c r="J19" s="46">
        <f>+Grunnlagstall!J4</f>
        <v>30342.353779999998</v>
      </c>
      <c r="K19" s="46">
        <f>+Grunnlagstall!K4</f>
        <v>20624.387350000019</v>
      </c>
      <c r="L19" s="47">
        <f>+Grunnlagstall!L4</f>
        <v>42648.009240000007</v>
      </c>
      <c r="N19" s="29"/>
    </row>
    <row r="20" spans="1:14" x14ac:dyDescent="0.2">
      <c r="A20" s="45" t="s">
        <v>113</v>
      </c>
      <c r="B20" s="68" t="s">
        <v>127</v>
      </c>
      <c r="C20" s="46">
        <f>SUM(C18:C19)</f>
        <v>154843.97099999996</v>
      </c>
      <c r="D20" s="46">
        <f>SUM(D18:D19)</f>
        <v>187293</v>
      </c>
      <c r="E20" s="46">
        <f>SUM(E18:E19)</f>
        <v>137243.82769000038</v>
      </c>
      <c r="F20" s="46">
        <f>SUM(F18:F19)</f>
        <v>140054.03939999515</v>
      </c>
      <c r="G20" s="46">
        <f>SUM(G18:G19)</f>
        <v>124376.02299999807</v>
      </c>
      <c r="H20" s="46">
        <f t="shared" ref="H20:L20" si="4">SUM(H18:H19)</f>
        <v>146030.22127000024</v>
      </c>
      <c r="I20" s="46">
        <f t="shared" si="4"/>
        <v>110929.13711000004</v>
      </c>
      <c r="J20" s="46">
        <f t="shared" si="4"/>
        <v>123166.57421999981</v>
      </c>
      <c r="K20" s="46">
        <f t="shared" si="4"/>
        <v>111930.18103000159</v>
      </c>
      <c r="L20" s="47">
        <f t="shared" si="4"/>
        <v>126530.62817999936</v>
      </c>
      <c r="N20" s="29"/>
    </row>
    <row r="21" spans="1:14" x14ac:dyDescent="0.2">
      <c r="A21" s="45" t="s">
        <v>75</v>
      </c>
      <c r="B21" s="65" t="s">
        <v>128</v>
      </c>
      <c r="C21" s="53">
        <f>+C17/C20</f>
        <v>0.31836601503845452</v>
      </c>
      <c r="D21" s="53">
        <f>+D17/D20</f>
        <v>0.27938043600134549</v>
      </c>
      <c r="E21" s="53">
        <f>+E17/E20</f>
        <v>0.39020449117000172</v>
      </c>
      <c r="F21" s="53">
        <f>+F17/F20</f>
        <v>0.36708842601223707</v>
      </c>
      <c r="G21" s="53">
        <f>+G17/G20</f>
        <v>0.35952579871444101</v>
      </c>
      <c r="H21" s="53">
        <f t="shared" ref="H21:L21" si="5">+H17/H20</f>
        <v>0.31774929926462003</v>
      </c>
      <c r="I21" s="53">
        <f t="shared" si="5"/>
        <v>0.45271207825408083</v>
      </c>
      <c r="J21" s="53">
        <f t="shared" si="5"/>
        <v>0.39219427012492353</v>
      </c>
      <c r="K21" s="53">
        <f t="shared" si="5"/>
        <v>0.3731241416361657</v>
      </c>
      <c r="L21" s="54">
        <f t="shared" si="5"/>
        <v>0.51325518267098458</v>
      </c>
      <c r="N21" s="29"/>
    </row>
    <row r="22" spans="1:14" x14ac:dyDescent="0.2">
      <c r="A22" s="45"/>
      <c r="B22" s="65"/>
      <c r="C22" s="132"/>
      <c r="D22" s="132"/>
      <c r="E22" s="132"/>
      <c r="F22" s="132"/>
      <c r="G22" s="43"/>
      <c r="H22" s="43"/>
      <c r="I22" s="43"/>
      <c r="J22" s="43"/>
      <c r="K22" s="43"/>
      <c r="L22" s="44"/>
      <c r="N22" s="29"/>
    </row>
    <row r="23" spans="1:14" x14ac:dyDescent="0.2">
      <c r="A23" s="48" t="s">
        <v>112</v>
      </c>
      <c r="B23" s="66" t="s">
        <v>124</v>
      </c>
      <c r="C23" s="49">
        <f>+Grunnlagstall!C5</f>
        <v>49297.058000000005</v>
      </c>
      <c r="D23" s="49">
        <f>+Grunnlagstall!D5</f>
        <v>52326</v>
      </c>
      <c r="E23" s="49">
        <f>+Grunnlagstall!E5</f>
        <v>53553.157949999993</v>
      </c>
      <c r="F23" s="49">
        <f>+Grunnlagstall!F5</f>
        <v>51412.216880000051</v>
      </c>
      <c r="G23" s="49">
        <f>+Grunnlagstall!G5</f>
        <v>44716.389009999992</v>
      </c>
      <c r="H23" s="49">
        <f>+Grunnlagstall!H5</f>
        <v>46401.000479999988</v>
      </c>
      <c r="I23" s="49">
        <f>+Grunnlagstall!I5</f>
        <v>50218.960200000001</v>
      </c>
      <c r="J23" s="49">
        <f>+Grunnlagstall!J5</f>
        <v>48305.224680000043</v>
      </c>
      <c r="K23" s="49">
        <f>+Grunnlagstall!K5</f>
        <v>41763.852719999981</v>
      </c>
      <c r="L23" s="50">
        <f>+Grunnlagstall!L5</f>
        <v>64942.500680000005</v>
      </c>
      <c r="N23" s="29"/>
    </row>
    <row r="24" spans="1:14" x14ac:dyDescent="0.2">
      <c r="A24" s="48" t="s">
        <v>108</v>
      </c>
      <c r="B24" s="66" t="s">
        <v>120</v>
      </c>
      <c r="C24" s="49">
        <f>+Grunnlagstall!C3</f>
        <v>134172.51399999997</v>
      </c>
      <c r="D24" s="49">
        <f>+Grunnlagstall!D3</f>
        <v>127620</v>
      </c>
      <c r="E24" s="49">
        <f>+Grunnlagstall!E3</f>
        <v>122912.47058000037</v>
      </c>
      <c r="F24" s="49">
        <f>+Grunnlagstall!F3</f>
        <v>120434.41103999513</v>
      </c>
      <c r="G24" s="49">
        <f>+Grunnlagstall!G3</f>
        <v>108464.64311999807</v>
      </c>
      <c r="H24" s="49">
        <f>+Grunnlagstall!H3</f>
        <v>97112.087430000218</v>
      </c>
      <c r="I24" s="49">
        <f>+Grunnlagstall!I3</f>
        <v>91273.909800000023</v>
      </c>
      <c r="J24" s="49">
        <f>+Grunnlagstall!J3</f>
        <v>92824.220439999801</v>
      </c>
      <c r="K24" s="49">
        <f>+Grunnlagstall!K3</f>
        <v>91305.793680001574</v>
      </c>
      <c r="L24" s="50">
        <f>+Grunnlagstall!L3</f>
        <v>83882.61893999936</v>
      </c>
      <c r="N24" s="29"/>
    </row>
    <row r="25" spans="1:14" x14ac:dyDescent="0.2">
      <c r="A25" s="48" t="s">
        <v>111</v>
      </c>
      <c r="B25" s="66" t="s">
        <v>123</v>
      </c>
      <c r="C25" s="49">
        <f>+Grunnlagstall!C4</f>
        <v>20671.456999999995</v>
      </c>
      <c r="D25" s="49">
        <f>+Grunnlagstall!D4</f>
        <v>59673</v>
      </c>
      <c r="E25" s="49">
        <f>+Grunnlagstall!E4</f>
        <v>14331.357110000004</v>
      </c>
      <c r="F25" s="49">
        <f>+Grunnlagstall!F4</f>
        <v>19619.628360000021</v>
      </c>
      <c r="G25" s="49">
        <f>+Grunnlagstall!G4</f>
        <v>15911.379879999997</v>
      </c>
      <c r="H25" s="49">
        <f>+Grunnlagstall!H4</f>
        <v>48918.133840000017</v>
      </c>
      <c r="I25" s="49">
        <f>+Grunnlagstall!I4</f>
        <v>19655.227310000009</v>
      </c>
      <c r="J25" s="49">
        <f>+Grunnlagstall!J4</f>
        <v>30342.353779999998</v>
      </c>
      <c r="K25" s="49">
        <f>+Grunnlagstall!K4</f>
        <v>20624.387350000019</v>
      </c>
      <c r="L25" s="50">
        <f>+Grunnlagstall!L4</f>
        <v>42648.009240000007</v>
      </c>
      <c r="N25" s="29"/>
    </row>
    <row r="26" spans="1:14" x14ac:dyDescent="0.2">
      <c r="A26" s="48" t="str">
        <f>+Grunnlagstall!A13</f>
        <v xml:space="preserve">Netto verdiendring og gevinst(+)/tap(-) på valuta og verdipapirer </v>
      </c>
      <c r="B26" s="67" t="s">
        <v>129</v>
      </c>
      <c r="C26" s="49">
        <f>+Grunnlagstall!C14</f>
        <v>2171</v>
      </c>
      <c r="D26" s="49">
        <f>+Grunnlagstall!D14</f>
        <v>5618</v>
      </c>
      <c r="E26" s="49">
        <f>+Grunnlagstall!E14</f>
        <v>-4618</v>
      </c>
      <c r="F26" s="49">
        <f>+Grunnlagstall!F14</f>
        <v>-3724</v>
      </c>
      <c r="G26" s="49">
        <f>+Grunnlagstall!G14</f>
        <v>-4259</v>
      </c>
      <c r="H26" s="49">
        <f>+Grunnlagstall!H14</f>
        <v>-7834</v>
      </c>
      <c r="I26" s="49">
        <f>+Grunnlagstall!I14</f>
        <v>-1312</v>
      </c>
      <c r="J26" s="49">
        <f>+Grunnlagstall!J14</f>
        <v>-860</v>
      </c>
      <c r="K26" s="49">
        <f>+Grunnlagstall!K14</f>
        <v>454</v>
      </c>
      <c r="L26" s="50">
        <f>+Grunnlagstall!L14</f>
        <v>-1172</v>
      </c>
      <c r="N26" s="29"/>
    </row>
    <row r="27" spans="1:14" x14ac:dyDescent="0.2">
      <c r="A27" s="48" t="s">
        <v>114</v>
      </c>
      <c r="B27" s="67" t="s">
        <v>132</v>
      </c>
      <c r="C27" s="49">
        <f>+C24+C25-C26</f>
        <v>152672.97099999996</v>
      </c>
      <c r="D27" s="49">
        <f>+D24+D25-D26</f>
        <v>181675</v>
      </c>
      <c r="E27" s="49">
        <f>+E24+E25-E26</f>
        <v>141861.82769000038</v>
      </c>
      <c r="F27" s="49">
        <f>+F24+F25-F26</f>
        <v>143778.03939999515</v>
      </c>
      <c r="G27" s="49">
        <f>+G24+G25-G26</f>
        <v>128635.02299999807</v>
      </c>
      <c r="H27" s="49">
        <f t="shared" ref="H27:L27" si="6">+H24+H25-H26</f>
        <v>153864.22127000024</v>
      </c>
      <c r="I27" s="49">
        <f t="shared" si="6"/>
        <v>112241.13711000004</v>
      </c>
      <c r="J27" s="49">
        <f t="shared" si="6"/>
        <v>124026.57421999981</v>
      </c>
      <c r="K27" s="49">
        <f t="shared" si="6"/>
        <v>111476.18103000159</v>
      </c>
      <c r="L27" s="50">
        <f t="shared" si="6"/>
        <v>127702.62817999936</v>
      </c>
      <c r="N27" s="29"/>
    </row>
    <row r="28" spans="1:14" x14ac:dyDescent="0.2">
      <c r="A28" s="48" t="s">
        <v>76</v>
      </c>
      <c r="B28" s="66" t="s">
        <v>130</v>
      </c>
      <c r="C28" s="51">
        <f>+C23/C27</f>
        <v>0.3228931596543046</v>
      </c>
      <c r="D28" s="51">
        <f>+D23/D27</f>
        <v>0.28801981560478879</v>
      </c>
      <c r="E28" s="51">
        <f>+E23/E27</f>
        <v>0.37750224159684126</v>
      </c>
      <c r="F28" s="51">
        <f>+F23/F27</f>
        <v>0.35758045592045945</v>
      </c>
      <c r="G28" s="51">
        <f>+G23/G27</f>
        <v>0.34762219469576855</v>
      </c>
      <c r="H28" s="51">
        <f t="shared" ref="H28" si="7">+H23/H27</f>
        <v>0.30157108713776754</v>
      </c>
      <c r="I28" s="51">
        <f t="shared" ref="I28" si="8">+I23/I27</f>
        <v>0.4474202729324076</v>
      </c>
      <c r="J28" s="51">
        <f t="shared" ref="J28" si="9">+J23/J27</f>
        <v>0.3894747958958833</v>
      </c>
      <c r="K28" s="51">
        <f t="shared" ref="K28" si="10">+K23/K27</f>
        <v>0.37464373406153978</v>
      </c>
      <c r="L28" s="52">
        <f t="shared" ref="L28" si="11">+L23/L27</f>
        <v>0.50854474653773196</v>
      </c>
      <c r="N28" s="29"/>
    </row>
    <row r="29" spans="1:14" x14ac:dyDescent="0.2">
      <c r="A29" s="45"/>
      <c r="B29" s="65"/>
      <c r="C29" s="132"/>
      <c r="D29" s="132"/>
      <c r="E29" s="132"/>
      <c r="F29" s="132"/>
      <c r="G29" s="43"/>
      <c r="H29" s="43"/>
      <c r="I29" s="43"/>
      <c r="J29" s="43"/>
      <c r="K29" s="43"/>
      <c r="L29" s="44"/>
      <c r="N29" s="29"/>
    </row>
    <row r="30" spans="1:14" x14ac:dyDescent="0.2">
      <c r="A30" s="45" t="str">
        <f>+Grunnlagstall!A6</f>
        <v>Driftsresultat før tap og nedskrivninger</v>
      </c>
      <c r="B30" s="65" t="s">
        <v>133</v>
      </c>
      <c r="C30" s="46">
        <f>+Grunnlagstall!C6</f>
        <v>105546.91299999996</v>
      </c>
      <c r="D30" s="46">
        <f>+Grunnlagstall!D6</f>
        <v>134967</v>
      </c>
      <c r="E30" s="46">
        <f>+Grunnlagstall!E6</f>
        <v>83690.66974000039</v>
      </c>
      <c r="F30" s="46">
        <f>+Grunnlagstall!F6</f>
        <v>88641.822519995098</v>
      </c>
      <c r="G30" s="46">
        <f>+Grunnlagstall!G6</f>
        <v>79659.633989998081</v>
      </c>
      <c r="H30" s="46">
        <f>+Grunnlagstall!H6</f>
        <v>99629.220790000254</v>
      </c>
      <c r="I30" s="46">
        <f>+Grunnlagstall!I6</f>
        <v>60710.176910000038</v>
      </c>
      <c r="J30" s="46">
        <f>+Grunnlagstall!J6</f>
        <v>74861.349539999763</v>
      </c>
      <c r="K30" s="46">
        <f>+Grunnlagstall!K6</f>
        <v>70166.328310001612</v>
      </c>
      <c r="L30" s="47">
        <f>+Grunnlagstall!L6</f>
        <v>61588.127499999355</v>
      </c>
      <c r="N30" s="29"/>
    </row>
    <row r="31" spans="1:14" x14ac:dyDescent="0.2">
      <c r="A31" s="45" t="s">
        <v>131</v>
      </c>
      <c r="B31" s="68" t="s">
        <v>134</v>
      </c>
      <c r="C31" s="53">
        <f>+C30*365/C$4/C$5</f>
        <v>1.9026609790153474E-2</v>
      </c>
      <c r="D31" s="53">
        <f>+D30*365/D$4/D$5</f>
        <v>2.4558678687660405E-2</v>
      </c>
      <c r="E31" s="53">
        <f>+E30*365/E$4/E$5</f>
        <v>1.5288840884419369E-2</v>
      </c>
      <c r="F31" s="53">
        <f>+F30*365/F$4/F$5</f>
        <v>1.5972916823773803E-2</v>
      </c>
      <c r="G31" s="53">
        <f>+G30*365/G$4/G$5</f>
        <v>1.4446377249329493E-2</v>
      </c>
      <c r="H31" s="53">
        <f t="shared" ref="H31:L31" si="12">+H30*365/H$4/H$5</f>
        <v>1.8560610613287537E-2</v>
      </c>
      <c r="I31" s="53">
        <f t="shared" si="12"/>
        <v>1.1686765119629048E-2</v>
      </c>
      <c r="J31" s="53">
        <f t="shared" si="12"/>
        <v>1.4279451544085981E-2</v>
      </c>
      <c r="K31" s="53">
        <f t="shared" si="12"/>
        <v>1.3674469812918335E-2</v>
      </c>
      <c r="L31" s="54">
        <f t="shared" si="12"/>
        <v>1.2615405914579806E-2</v>
      </c>
      <c r="N31" s="29"/>
    </row>
    <row r="32" spans="1:14" x14ac:dyDescent="0.2">
      <c r="A32" s="45"/>
      <c r="B32" s="65"/>
      <c r="C32" s="132"/>
      <c r="D32" s="132"/>
      <c r="E32" s="132"/>
      <c r="F32" s="132"/>
      <c r="G32" s="43"/>
      <c r="H32" s="43"/>
      <c r="I32" s="43"/>
      <c r="J32" s="43"/>
      <c r="K32" s="43"/>
      <c r="L32" s="44"/>
      <c r="N32" s="29"/>
    </row>
    <row r="33" spans="1:16" x14ac:dyDescent="0.2">
      <c r="A33" s="71" t="str">
        <f>+Grunnlagstall!A10</f>
        <v>Resultat av ordinær drift etter skatt</v>
      </c>
      <c r="B33" s="66" t="s">
        <v>135</v>
      </c>
      <c r="C33" s="49">
        <f>+Grunnlagstall!C10</f>
        <v>70535.418999999965</v>
      </c>
      <c r="D33" s="49">
        <f>+Grunnlagstall!D10</f>
        <v>102666</v>
      </c>
      <c r="E33" s="49">
        <f>+Grunnlagstall!E10</f>
        <v>58571.757180000408</v>
      </c>
      <c r="F33" s="49">
        <f>+Grunnlagstall!F10</f>
        <v>61144.122009995088</v>
      </c>
      <c r="G33" s="49">
        <f>+Grunnlagstall!G10</f>
        <v>57776.199069998082</v>
      </c>
      <c r="H33" s="49">
        <f>+Grunnlagstall!H10</f>
        <v>83436.168990000238</v>
      </c>
      <c r="I33" s="49">
        <f>+Grunnlagstall!I10</f>
        <v>42262.246000000057</v>
      </c>
      <c r="J33" s="49">
        <f>+Grunnlagstall!J10</f>
        <v>54679.009679999588</v>
      </c>
      <c r="K33" s="49">
        <f>+Grunnlagstall!K10</f>
        <v>54276.084140001709</v>
      </c>
      <c r="L33" s="50">
        <f>+Grunnlagstall!L10</f>
        <v>54907.300619999311</v>
      </c>
      <c r="N33" s="29"/>
    </row>
    <row r="34" spans="1:16" x14ac:dyDescent="0.2">
      <c r="A34" s="48" t="s">
        <v>136</v>
      </c>
      <c r="B34" s="66" t="s">
        <v>137</v>
      </c>
      <c r="C34" s="49">
        <f>+Grunnlagstall!C15</f>
        <v>2427</v>
      </c>
      <c r="D34" s="49">
        <f>+Grunnlagstall!D15</f>
        <v>2352</v>
      </c>
      <c r="E34" s="49">
        <f>+Grunnlagstall!E15</f>
        <v>2174</v>
      </c>
      <c r="F34" s="49">
        <f>+Grunnlagstall!F15</f>
        <v>2167</v>
      </c>
      <c r="G34" s="49">
        <f>+Grunnlagstall!G15</f>
        <v>1914</v>
      </c>
      <c r="H34" s="49">
        <f>+Grunnlagstall!H15</f>
        <v>1321</v>
      </c>
      <c r="I34" s="49">
        <f>+Grunnlagstall!I15</f>
        <v>1437</v>
      </c>
      <c r="J34" s="49">
        <f>+Grunnlagstall!J15</f>
        <v>1460</v>
      </c>
      <c r="K34" s="49">
        <f>+Grunnlagstall!K15</f>
        <v>1343</v>
      </c>
      <c r="L34" s="50">
        <f>+Grunnlagstall!L15</f>
        <v>1409</v>
      </c>
      <c r="N34" s="29"/>
    </row>
    <row r="35" spans="1:16" x14ac:dyDescent="0.2">
      <c r="A35" s="71" t="s">
        <v>138</v>
      </c>
      <c r="B35" s="67" t="s">
        <v>140</v>
      </c>
      <c r="C35" s="49">
        <f>+C33-C34</f>
        <v>68108.418999999965</v>
      </c>
      <c r="D35" s="49">
        <f>+D33-D34</f>
        <v>100314</v>
      </c>
      <c r="E35" s="49">
        <f>+E33-E34</f>
        <v>56397.757180000408</v>
      </c>
      <c r="F35" s="49">
        <f>+F33-F34</f>
        <v>58977.122009995088</v>
      </c>
      <c r="G35" s="49">
        <f>+G33-G34</f>
        <v>55862.199069998082</v>
      </c>
      <c r="H35" s="49">
        <f t="shared" ref="H35:L35" si="13">+H33-H34</f>
        <v>82115.168990000238</v>
      </c>
      <c r="I35" s="49">
        <f t="shared" si="13"/>
        <v>40825.246000000057</v>
      </c>
      <c r="J35" s="49">
        <f t="shared" si="13"/>
        <v>53219.009679999588</v>
      </c>
      <c r="K35" s="49">
        <f t="shared" si="13"/>
        <v>52933.084140001709</v>
      </c>
      <c r="L35" s="50">
        <f t="shared" si="13"/>
        <v>53498.300619999311</v>
      </c>
      <c r="N35" s="29"/>
    </row>
    <row r="36" spans="1:16" x14ac:dyDescent="0.2">
      <c r="A36" s="48" t="s">
        <v>105</v>
      </c>
      <c r="B36" s="66" t="s">
        <v>141</v>
      </c>
      <c r="C36" s="49">
        <f>+Grunnlagstall!C36</f>
        <v>2577254</v>
      </c>
      <c r="D36" s="49">
        <f>+Grunnlagstall!D36</f>
        <v>2515945</v>
      </c>
      <c r="E36" s="49">
        <f>+Grunnlagstall!E36</f>
        <v>2502892</v>
      </c>
      <c r="F36" s="49">
        <f>+Grunnlagstall!F36</f>
        <v>2414776</v>
      </c>
      <c r="G36" s="49">
        <f>+Grunnlagstall!G36</f>
        <v>2330778</v>
      </c>
      <c r="H36" s="49">
        <f>+Grunnlagstall!H36</f>
        <v>2291311</v>
      </c>
      <c r="I36" s="49">
        <f>+Grunnlagstall!I36</f>
        <v>2237474</v>
      </c>
      <c r="J36" s="49">
        <f>+Grunnlagstall!J36</f>
        <v>2159741</v>
      </c>
      <c r="K36" s="49">
        <f>+Grunnlagstall!K36</f>
        <v>2100382</v>
      </c>
      <c r="L36" s="50">
        <f>+Grunnlagstall!L36</f>
        <v>2056893</v>
      </c>
      <c r="N36" s="30"/>
      <c r="O36" s="26"/>
      <c r="P36" s="26"/>
    </row>
    <row r="37" spans="1:16" x14ac:dyDescent="0.2">
      <c r="A37" s="48" t="str">
        <f>+Grunnlagstall!A31</f>
        <v>Fondsobligasjoner gjennomsnittlig kvartal</v>
      </c>
      <c r="B37" s="66" t="s">
        <v>142</v>
      </c>
      <c r="C37" s="49">
        <f>+Grunnlagstall!C31</f>
        <v>125000</v>
      </c>
      <c r="D37" s="49">
        <f>+Grunnlagstall!D31</f>
        <v>125000</v>
      </c>
      <c r="E37" s="49">
        <f>+Grunnlagstall!E31</f>
        <v>125000</v>
      </c>
      <c r="F37" s="49">
        <f>+Grunnlagstall!F31</f>
        <v>125000</v>
      </c>
      <c r="G37" s="49">
        <f>+Grunnlagstall!G31</f>
        <v>125000</v>
      </c>
      <c r="H37" s="49">
        <f>+Grunnlagstall!H31</f>
        <v>125000</v>
      </c>
      <c r="I37" s="49">
        <f>+Grunnlagstall!I31</f>
        <v>125000</v>
      </c>
      <c r="J37" s="49">
        <f>+Grunnlagstall!J31</f>
        <v>137000</v>
      </c>
      <c r="K37" s="49">
        <f>+Grunnlagstall!K31</f>
        <v>143000</v>
      </c>
      <c r="L37" s="49">
        <f>+Grunnlagstall!L31</f>
        <v>143000</v>
      </c>
      <c r="N37" s="30"/>
      <c r="O37" s="26"/>
      <c r="P37" s="26"/>
    </row>
    <row r="38" spans="1:16" x14ac:dyDescent="0.2">
      <c r="A38" s="48" t="s">
        <v>143</v>
      </c>
      <c r="B38" s="67" t="s">
        <v>144</v>
      </c>
      <c r="C38" s="49">
        <f>+C36-C37</f>
        <v>2452254</v>
      </c>
      <c r="D38" s="49">
        <f>+D36-D37</f>
        <v>2390945</v>
      </c>
      <c r="E38" s="49">
        <f>+E36-E37</f>
        <v>2377892</v>
      </c>
      <c r="F38" s="49">
        <f>+F36-F37</f>
        <v>2289776</v>
      </c>
      <c r="G38" s="49">
        <f>+G36-G37</f>
        <v>2205778</v>
      </c>
      <c r="H38" s="49">
        <f t="shared" ref="H38:L38" si="14">+H36-H37</f>
        <v>2166311</v>
      </c>
      <c r="I38" s="49">
        <f t="shared" si="14"/>
        <v>2112474</v>
      </c>
      <c r="J38" s="49">
        <f t="shared" si="14"/>
        <v>2022741</v>
      </c>
      <c r="K38" s="49">
        <f t="shared" si="14"/>
        <v>1957382</v>
      </c>
      <c r="L38" s="50">
        <f t="shared" si="14"/>
        <v>1913893</v>
      </c>
      <c r="N38" s="30"/>
      <c r="O38" s="26"/>
      <c r="P38" s="26"/>
    </row>
    <row r="39" spans="1:16" x14ac:dyDescent="0.2">
      <c r="A39" s="48" t="s">
        <v>77</v>
      </c>
      <c r="B39" s="67" t="s">
        <v>145</v>
      </c>
      <c r="C39" s="72">
        <f>+(C35*365/C4)/C38</f>
        <v>0.11018954369876781</v>
      </c>
      <c r="D39" s="72">
        <f>+(D35*365/D4)/D38</f>
        <v>0.16828423558398525</v>
      </c>
      <c r="E39" s="72">
        <f>+(E35*365/E4)/E38</f>
        <v>9.6187815700723114E-2</v>
      </c>
      <c r="F39" s="72">
        <f>+(F35*365/F4)/F38</f>
        <v>0.10218699166115607</v>
      </c>
      <c r="G39" s="72">
        <f>+(G35*365/G4)/G38</f>
        <v>0.10047575179009745</v>
      </c>
      <c r="H39" s="72">
        <f t="shared" ref="H39:L39" si="15">+(H35*365/H4)/H38</f>
        <v>0.15203866871118532</v>
      </c>
      <c r="I39" s="72">
        <f t="shared" si="15"/>
        <v>7.8376847820244164E-2</v>
      </c>
      <c r="J39" s="72">
        <f t="shared" si="15"/>
        <v>0.1043834263657251</v>
      </c>
      <c r="K39" s="72">
        <f t="shared" si="15"/>
        <v>0.10728935778982059</v>
      </c>
      <c r="L39" s="73">
        <f t="shared" si="15"/>
        <v>0.11211760317499664</v>
      </c>
      <c r="N39" s="30"/>
      <c r="O39" s="26"/>
      <c r="P39" s="26"/>
    </row>
    <row r="40" spans="1:16" x14ac:dyDescent="0.2">
      <c r="A40" s="45"/>
      <c r="B40" s="65"/>
      <c r="C40" s="43"/>
      <c r="D40" s="43"/>
      <c r="E40" s="43"/>
      <c r="F40" s="43"/>
      <c r="G40" s="43"/>
      <c r="H40" s="43"/>
      <c r="I40" s="43"/>
      <c r="J40" s="43"/>
      <c r="K40" s="43"/>
      <c r="L40" s="44"/>
      <c r="N40" s="30"/>
      <c r="O40" s="26"/>
      <c r="P40" s="26"/>
    </row>
    <row r="41" spans="1:16" x14ac:dyDescent="0.2">
      <c r="A41" s="42" t="s">
        <v>96</v>
      </c>
      <c r="B41" s="65" t="s">
        <v>135</v>
      </c>
      <c r="C41" s="46">
        <f>+Grunnlagstall!C10</f>
        <v>70535.418999999965</v>
      </c>
      <c r="D41" s="46">
        <f>+Grunnlagstall!D10</f>
        <v>102666</v>
      </c>
      <c r="E41" s="46">
        <f>+Grunnlagstall!E10</f>
        <v>58571.757180000408</v>
      </c>
      <c r="F41" s="46">
        <f>+Grunnlagstall!F10</f>
        <v>61144.122009995088</v>
      </c>
      <c r="G41" s="46">
        <f>+Grunnlagstall!G10</f>
        <v>57776.199069998082</v>
      </c>
      <c r="H41" s="46">
        <f>+Grunnlagstall!H10</f>
        <v>83436.168990000238</v>
      </c>
      <c r="I41" s="46">
        <f>+Grunnlagstall!I10</f>
        <v>42262.246000000057</v>
      </c>
      <c r="J41" s="46">
        <f>+Grunnlagstall!J10</f>
        <v>54679.009679999588</v>
      </c>
      <c r="K41" s="46">
        <f>+Grunnlagstall!K10</f>
        <v>54276.084140001709</v>
      </c>
      <c r="L41" s="47">
        <f>+Grunnlagstall!L10</f>
        <v>54907.300619999311</v>
      </c>
      <c r="N41" s="30"/>
      <c r="O41" s="26"/>
      <c r="P41" s="26"/>
    </row>
    <row r="42" spans="1:16" x14ac:dyDescent="0.2">
      <c r="A42" s="42" t="s">
        <v>105</v>
      </c>
      <c r="B42" s="65" t="s">
        <v>141</v>
      </c>
      <c r="C42" s="46">
        <f>+Grunnlagstall!C36</f>
        <v>2577254</v>
      </c>
      <c r="D42" s="46">
        <f>+Grunnlagstall!D36</f>
        <v>2515945</v>
      </c>
      <c r="E42" s="46">
        <f>+Grunnlagstall!E36</f>
        <v>2502892</v>
      </c>
      <c r="F42" s="46">
        <f>+Grunnlagstall!F36</f>
        <v>2414776</v>
      </c>
      <c r="G42" s="46">
        <f>+Grunnlagstall!G36</f>
        <v>2330778</v>
      </c>
      <c r="H42" s="46">
        <f>+Grunnlagstall!H36</f>
        <v>2291311</v>
      </c>
      <c r="I42" s="46">
        <f>+Grunnlagstall!I36</f>
        <v>2237474</v>
      </c>
      <c r="J42" s="46">
        <f>+Grunnlagstall!J36</f>
        <v>2159741</v>
      </c>
      <c r="K42" s="46">
        <f>+Grunnlagstall!K36</f>
        <v>2100382</v>
      </c>
      <c r="L42" s="47">
        <f>+Grunnlagstall!L36</f>
        <v>2056893</v>
      </c>
      <c r="N42" s="29"/>
    </row>
    <row r="43" spans="1:16" x14ac:dyDescent="0.2">
      <c r="A43" s="42" t="s">
        <v>78</v>
      </c>
      <c r="B43" s="68" t="s">
        <v>146</v>
      </c>
      <c r="C43" s="53">
        <f t="shared" ref="C43" si="16">+(C41*365/C4)/C42</f>
        <v>0.10858130707688506</v>
      </c>
      <c r="D43" s="53">
        <f t="shared" ref="D43:E43" si="17">+(D41*365/D4)/D42</f>
        <v>0.16367297289972468</v>
      </c>
      <c r="E43" s="53">
        <f t="shared" si="17"/>
        <v>9.4906618116163896E-2</v>
      </c>
      <c r="F43" s="53">
        <f t="shared" ref="F43:L43" si="18">+(F41*365/F4)/F42</f>
        <v>0.10045762338802318</v>
      </c>
      <c r="G43" s="53">
        <f t="shared" si="18"/>
        <v>9.8345183363057032E-2</v>
      </c>
      <c r="H43" s="53">
        <f t="shared" si="18"/>
        <v>0.14605680195220683</v>
      </c>
      <c r="I43" s="53">
        <f t="shared" si="18"/>
        <v>7.6602850605439796E-2</v>
      </c>
      <c r="J43" s="53">
        <f t="shared" si="18"/>
        <v>0.10044400117179837</v>
      </c>
      <c r="K43" s="53">
        <f t="shared" si="18"/>
        <v>0.10252157190982104</v>
      </c>
      <c r="L43" s="54">
        <f t="shared" si="18"/>
        <v>0.10707050848531613</v>
      </c>
      <c r="N43" s="29"/>
    </row>
    <row r="44" spans="1:16" x14ac:dyDescent="0.2">
      <c r="A44" s="42"/>
      <c r="B44" s="65"/>
      <c r="C44" s="132"/>
      <c r="D44" s="132"/>
      <c r="E44" s="132"/>
      <c r="F44" s="132"/>
      <c r="G44" s="43"/>
      <c r="H44" s="43"/>
      <c r="I44" s="43"/>
      <c r="J44" s="43"/>
      <c r="K44" s="43"/>
      <c r="L44" s="44"/>
      <c r="N44" s="29"/>
    </row>
    <row r="45" spans="1:16" x14ac:dyDescent="0.2">
      <c r="A45" s="71" t="s">
        <v>103</v>
      </c>
      <c r="B45" s="66" t="s">
        <v>142</v>
      </c>
      <c r="C45" s="49">
        <f>+Grunnlagstall!C24</f>
        <v>21788823</v>
      </c>
      <c r="D45" s="49">
        <f>+Grunnlagstall!D24</f>
        <v>22136236.583860002</v>
      </c>
      <c r="E45" s="49">
        <f>+Grunnlagstall!E24</f>
        <v>22119882.199110031</v>
      </c>
      <c r="F45" s="49">
        <f>+Grunnlagstall!F24</f>
        <v>21974314.547970034</v>
      </c>
      <c r="G45" s="49">
        <f>+Grunnlagstall!G24</f>
        <v>22050085.62483</v>
      </c>
      <c r="H45" s="49">
        <f>+Grunnlagstall!H24</f>
        <v>21949215.152980071</v>
      </c>
      <c r="I45" s="49">
        <f>+Grunnlagstall!I24</f>
        <v>21203324.595910076</v>
      </c>
      <c r="J45" s="49">
        <f>+Grunnlagstall!J24</f>
        <v>20843345</v>
      </c>
      <c r="K45" s="49">
        <f>+Grunnlagstall!K24</f>
        <v>20670818.58611</v>
      </c>
      <c r="L45" s="50">
        <f>+Grunnlagstall!L24</f>
        <v>20034418</v>
      </c>
      <c r="N45" s="29"/>
    </row>
    <row r="46" spans="1:16" x14ac:dyDescent="0.2">
      <c r="A46" s="71" t="s">
        <v>106</v>
      </c>
      <c r="B46" s="66" t="s">
        <v>119</v>
      </c>
      <c r="C46" s="49">
        <f t="shared" ref="C46" si="19">+C6</f>
        <v>87</v>
      </c>
      <c r="D46" s="49">
        <f t="shared" ref="D46:E46" si="20">+D6</f>
        <v>89.51</v>
      </c>
      <c r="E46" s="49">
        <f t="shared" si="20"/>
        <v>89.51</v>
      </c>
      <c r="F46" s="49">
        <f t="shared" ref="F46:L46" si="21">+F6</f>
        <v>90</v>
      </c>
      <c r="G46" s="49">
        <f t="shared" si="21"/>
        <v>88</v>
      </c>
      <c r="H46" s="49">
        <f t="shared" si="21"/>
        <v>88</v>
      </c>
      <c r="I46" s="49">
        <f t="shared" si="21"/>
        <v>88</v>
      </c>
      <c r="J46" s="49">
        <f t="shared" si="21"/>
        <v>89</v>
      </c>
      <c r="K46" s="49">
        <f t="shared" si="21"/>
        <v>90</v>
      </c>
      <c r="L46" s="50">
        <f t="shared" si="21"/>
        <v>88.7</v>
      </c>
      <c r="N46" s="29"/>
    </row>
    <row r="47" spans="1:16" x14ac:dyDescent="0.2">
      <c r="A47" s="48" t="s">
        <v>28</v>
      </c>
      <c r="B47" s="67" t="s">
        <v>148</v>
      </c>
      <c r="C47" s="148">
        <f>+C45/C46</f>
        <v>250446.24137931035</v>
      </c>
      <c r="D47" s="148">
        <f>+D45/D46</f>
        <v>247304.62053245449</v>
      </c>
      <c r="E47" s="148">
        <f>+E45/E46</f>
        <v>247121.91039112982</v>
      </c>
      <c r="F47" s="148">
        <f>+F45/F46</f>
        <v>244159.05053300038</v>
      </c>
      <c r="G47" s="148">
        <f>+G45/G46</f>
        <v>250569.15482761365</v>
      </c>
      <c r="H47" s="148">
        <f t="shared" ref="H47:L47" si="22">+H45/H46</f>
        <v>249422.89946568263</v>
      </c>
      <c r="I47" s="148">
        <f t="shared" si="22"/>
        <v>240946.87040806905</v>
      </c>
      <c r="J47" s="148">
        <f t="shared" si="22"/>
        <v>234194.88764044945</v>
      </c>
      <c r="K47" s="148">
        <f t="shared" si="22"/>
        <v>229675.76206788889</v>
      </c>
      <c r="L47" s="149">
        <f t="shared" si="22"/>
        <v>225867.1702367531</v>
      </c>
      <c r="N47" s="29"/>
    </row>
    <row r="48" spans="1:16" x14ac:dyDescent="0.2">
      <c r="A48" s="42"/>
      <c r="B48" s="65"/>
      <c r="C48" s="43"/>
      <c r="D48" s="43"/>
      <c r="E48" s="43"/>
      <c r="F48" s="43"/>
      <c r="G48" s="43"/>
      <c r="H48" s="43"/>
      <c r="I48" s="43"/>
      <c r="J48" s="43"/>
      <c r="K48" s="43"/>
      <c r="L48" s="44"/>
      <c r="N48" s="29"/>
    </row>
    <row r="49" spans="1:14" x14ac:dyDescent="0.2">
      <c r="A49" s="42" t="s">
        <v>99</v>
      </c>
      <c r="B49" s="65" t="s">
        <v>149</v>
      </c>
      <c r="C49" s="46">
        <f>+Grunnlagstall!C20</f>
        <v>10598966.461999999</v>
      </c>
      <c r="D49" s="46">
        <f>+Grunnlagstall!D20</f>
        <v>10838042.538000001</v>
      </c>
      <c r="E49" s="46">
        <f>+Grunnlagstall!E20</f>
        <v>10671566.552750032</v>
      </c>
      <c r="F49" s="46">
        <f>+Grunnlagstall!F20</f>
        <v>10651204.762010034</v>
      </c>
      <c r="G49" s="46">
        <f>+Grunnlagstall!G20</f>
        <v>10658593.773430044</v>
      </c>
      <c r="H49" s="46">
        <f>+Grunnlagstall!H20</f>
        <v>10904126.716830069</v>
      </c>
      <c r="I49" s="46">
        <f>+Grunnlagstall!I20</f>
        <v>10028321.423190072</v>
      </c>
      <c r="J49" s="46">
        <f>+Grunnlagstall!J20</f>
        <v>9923174.4379000552</v>
      </c>
      <c r="K49" s="46">
        <f>+Grunnlagstall!K20</f>
        <v>10034092.177220032</v>
      </c>
      <c r="L49" s="47">
        <f>+Grunnlagstall!L20</f>
        <v>10068578.189180031</v>
      </c>
      <c r="N49" s="29"/>
    </row>
    <row r="50" spans="1:14" x14ac:dyDescent="0.2">
      <c r="A50" s="42" t="s">
        <v>98</v>
      </c>
      <c r="B50" s="65" t="s">
        <v>150</v>
      </c>
      <c r="C50" s="46">
        <f>+Grunnlagstall!C19</f>
        <v>18764829.274999999</v>
      </c>
      <c r="D50" s="46">
        <f>+Grunnlagstall!D19</f>
        <v>19228385.669</v>
      </c>
      <c r="E50" s="46">
        <f>+Grunnlagstall!E19</f>
        <v>18802793.790859867</v>
      </c>
      <c r="F50" s="46">
        <f>+Grunnlagstall!F19</f>
        <v>18836623.624359865</v>
      </c>
      <c r="G50" s="46">
        <f>+Grunnlagstall!G19</f>
        <v>18858337.343439784</v>
      </c>
      <c r="H50" s="46">
        <f>+Grunnlagstall!H19</f>
        <v>18548959.305619802</v>
      </c>
      <c r="I50" s="46">
        <f>+Grunnlagstall!I19</f>
        <v>17967360.297719706</v>
      </c>
      <c r="J50" s="46">
        <f>+Grunnlagstall!J19</f>
        <v>17730021.602289729</v>
      </c>
      <c r="K50" s="46">
        <f>+Grunnlagstall!K19</f>
        <v>17778799.599719867</v>
      </c>
      <c r="L50" s="47">
        <f>+Grunnlagstall!L19</f>
        <v>17358838.674029812</v>
      </c>
      <c r="N50" s="29"/>
    </row>
    <row r="51" spans="1:14" x14ac:dyDescent="0.2">
      <c r="A51" s="45" t="s">
        <v>79</v>
      </c>
      <c r="B51" s="68" t="s">
        <v>151</v>
      </c>
      <c r="C51" s="55">
        <f>+C49*100/C50</f>
        <v>56.483148909437652</v>
      </c>
      <c r="D51" s="55">
        <f>+D49*100/D50</f>
        <v>56.364807345595786</v>
      </c>
      <c r="E51" s="55">
        <f>+E49*100/E50</f>
        <v>56.755217716303065</v>
      </c>
      <c r="F51" s="55">
        <f>+F49*100/F50</f>
        <v>56.545190764632054</v>
      </c>
      <c r="G51" s="55">
        <f>+G49*100/G50</f>
        <v>56.519265613507699</v>
      </c>
      <c r="H51" s="55">
        <f t="shared" ref="H51:L51" si="23">+H49*100/H50</f>
        <v>58.785652268515314</v>
      </c>
      <c r="I51" s="55">
        <f t="shared" si="23"/>
        <v>55.814105450219067</v>
      </c>
      <c r="J51" s="55">
        <f t="shared" si="23"/>
        <v>55.968202749502211</v>
      </c>
      <c r="K51" s="55">
        <f t="shared" si="23"/>
        <v>56.438524552457046</v>
      </c>
      <c r="L51" s="56">
        <f t="shared" si="23"/>
        <v>58.002602468121417</v>
      </c>
      <c r="N51" s="29"/>
    </row>
    <row r="52" spans="1:14" x14ac:dyDescent="0.2">
      <c r="A52" s="45"/>
      <c r="B52" s="65"/>
      <c r="C52" s="132"/>
      <c r="D52" s="132"/>
      <c r="E52" s="132"/>
      <c r="F52" s="132"/>
      <c r="G52" s="43"/>
      <c r="H52" s="43"/>
      <c r="I52" s="43"/>
      <c r="J52" s="43"/>
      <c r="K52" s="43"/>
      <c r="L52" s="44"/>
      <c r="N52" s="29"/>
    </row>
    <row r="53" spans="1:14" x14ac:dyDescent="0.2">
      <c r="A53" s="71" t="s">
        <v>152</v>
      </c>
      <c r="B53" s="66" t="s">
        <v>150</v>
      </c>
      <c r="C53" s="49">
        <f>+C50</f>
        <v>18764829.274999999</v>
      </c>
      <c r="D53" s="49">
        <f>+D50</f>
        <v>19228385.669</v>
      </c>
      <c r="E53" s="49">
        <f>+E50</f>
        <v>18802793.790859867</v>
      </c>
      <c r="F53" s="49">
        <f>+F50</f>
        <v>18836623.624359865</v>
      </c>
      <c r="G53" s="49">
        <f>+G50</f>
        <v>18858337.343439784</v>
      </c>
      <c r="H53" s="49">
        <f t="shared" ref="H53:L53" si="24">+H50</f>
        <v>18548959.305619802</v>
      </c>
      <c r="I53" s="49">
        <f t="shared" si="24"/>
        <v>17967360.297719706</v>
      </c>
      <c r="J53" s="49">
        <f t="shared" si="24"/>
        <v>17730021.602289729</v>
      </c>
      <c r="K53" s="49">
        <f t="shared" si="24"/>
        <v>17778799.599719867</v>
      </c>
      <c r="L53" s="50">
        <f t="shared" si="24"/>
        <v>17358838.674029812</v>
      </c>
      <c r="N53" s="29"/>
    </row>
    <row r="54" spans="1:14" x14ac:dyDescent="0.2">
      <c r="A54" s="71" t="s">
        <v>153</v>
      </c>
      <c r="B54" s="66" t="s">
        <v>155</v>
      </c>
      <c r="C54" s="49">
        <f>+Grunnlagstall!G19</f>
        <v>18858337.343439784</v>
      </c>
      <c r="D54" s="49">
        <f>+Grunnlagstall!H19</f>
        <v>18548959.305619802</v>
      </c>
      <c r="E54" s="49">
        <f>+Grunnlagstall!I19</f>
        <v>17967360.297719706</v>
      </c>
      <c r="F54" s="49">
        <f>+Grunnlagstall!J19</f>
        <v>17730021.602289729</v>
      </c>
      <c r="G54" s="49">
        <f>+Grunnlagstall!K19</f>
        <v>17778799.599719867</v>
      </c>
      <c r="H54" s="49">
        <f>+Grunnlagstall!L19</f>
        <v>17358838.674029812</v>
      </c>
      <c r="I54" s="49">
        <f>+Grunnlagstall!M19</f>
        <v>16167063.651719812</v>
      </c>
      <c r="J54" s="49">
        <f>+Grunnlagstall!N19</f>
        <v>15679321.866809871</v>
      </c>
      <c r="K54" s="49">
        <f>+Grunnlagstall!O19</f>
        <v>15478086.649019852</v>
      </c>
      <c r="L54" s="50">
        <f>+Grunnlagstall!P19</f>
        <v>15228749.09817986</v>
      </c>
      <c r="N54" s="29"/>
    </row>
    <row r="55" spans="1:14" x14ac:dyDescent="0.2">
      <c r="A55" s="71" t="s">
        <v>154</v>
      </c>
      <c r="B55" s="67" t="s">
        <v>159</v>
      </c>
      <c r="C55" s="49">
        <f>+C53-C54</f>
        <v>-93508.068439785391</v>
      </c>
      <c r="D55" s="49">
        <f>+D53-D54</f>
        <v>679426.36338019744</v>
      </c>
      <c r="E55" s="49">
        <f>+E53-E54</f>
        <v>835433.49314016104</v>
      </c>
      <c r="F55" s="49">
        <f>+F53-F54</f>
        <v>1106602.0220701359</v>
      </c>
      <c r="G55" s="49">
        <f>+G53-G54</f>
        <v>1079537.7437199168</v>
      </c>
      <c r="H55" s="49">
        <f>+H53-H54</f>
        <v>1190120.6315899901</v>
      </c>
      <c r="I55" s="49">
        <f t="shared" ref="I55:L55" si="25">+I53-I54</f>
        <v>1800296.6459998935</v>
      </c>
      <c r="J55" s="49">
        <f t="shared" si="25"/>
        <v>2050699.7354798578</v>
      </c>
      <c r="K55" s="49">
        <f t="shared" si="25"/>
        <v>2300712.9507000148</v>
      </c>
      <c r="L55" s="50">
        <f t="shared" si="25"/>
        <v>2130089.5758499522</v>
      </c>
      <c r="N55" s="29"/>
    </row>
    <row r="56" spans="1:14" x14ac:dyDescent="0.2">
      <c r="A56" s="48" t="s">
        <v>80</v>
      </c>
      <c r="B56" s="67" t="s">
        <v>160</v>
      </c>
      <c r="C56" s="51">
        <f>+C55/C54</f>
        <v>-4.9584471174132366E-3</v>
      </c>
      <c r="D56" s="51">
        <f>+D55/D54</f>
        <v>3.6628813087877701E-2</v>
      </c>
      <c r="E56" s="51">
        <f>+E55/E54</f>
        <v>4.649728615094275E-2</v>
      </c>
      <c r="F56" s="51">
        <f>+F55/F54</f>
        <v>6.2414025594149568E-2</v>
      </c>
      <c r="G56" s="51">
        <f>+G55/G54</f>
        <v>6.0720508022202274E-2</v>
      </c>
      <c r="H56" s="51">
        <f>+H55/H54</f>
        <v>6.8559922350710262E-2</v>
      </c>
      <c r="I56" s="51">
        <f t="shared" ref="I56:L56" si="26">+I55/I54</f>
        <v>0.11135582099402339</v>
      </c>
      <c r="J56" s="51">
        <f t="shared" si="26"/>
        <v>0.13079007835286532</v>
      </c>
      <c r="K56" s="51">
        <f t="shared" si="26"/>
        <v>0.14864324014142324</v>
      </c>
      <c r="L56" s="52">
        <f t="shared" si="26"/>
        <v>0.13987291813117733</v>
      </c>
      <c r="N56" s="29"/>
    </row>
    <row r="57" spans="1:14" x14ac:dyDescent="0.2">
      <c r="A57" s="42"/>
      <c r="B57" s="65"/>
      <c r="C57" s="46"/>
      <c r="D57" s="46"/>
      <c r="E57" s="46"/>
      <c r="F57" s="46"/>
      <c r="G57" s="46"/>
      <c r="H57" s="43"/>
      <c r="I57" s="43"/>
      <c r="J57" s="43"/>
      <c r="K57" s="43"/>
      <c r="L57" s="44"/>
      <c r="N57" s="29"/>
    </row>
    <row r="58" spans="1:14" x14ac:dyDescent="0.2">
      <c r="A58" s="42" t="s">
        <v>99</v>
      </c>
      <c r="B58" s="65" t="s">
        <v>149</v>
      </c>
      <c r="C58" s="46">
        <f>+C49</f>
        <v>10598966.461999999</v>
      </c>
      <c r="D58" s="46">
        <f>+D49</f>
        <v>10838042.538000001</v>
      </c>
      <c r="E58" s="46">
        <f>+E49</f>
        <v>10671566.552750032</v>
      </c>
      <c r="F58" s="46">
        <f>+F49</f>
        <v>10651204.762010034</v>
      </c>
      <c r="G58" s="46">
        <f>+G49</f>
        <v>10658593.773430044</v>
      </c>
      <c r="H58" s="46">
        <f t="shared" ref="H58:L58" si="27">+H49</f>
        <v>10904126.716830069</v>
      </c>
      <c r="I58" s="46">
        <f t="shared" si="27"/>
        <v>10028321.423190072</v>
      </c>
      <c r="J58" s="46">
        <f t="shared" si="27"/>
        <v>9923174.4379000552</v>
      </c>
      <c r="K58" s="46">
        <f t="shared" si="27"/>
        <v>10034092.177220032</v>
      </c>
      <c r="L58" s="47">
        <f t="shared" si="27"/>
        <v>10068578.189180031</v>
      </c>
      <c r="N58" s="29"/>
    </row>
    <row r="59" spans="1:14" x14ac:dyDescent="0.2">
      <c r="A59" s="42" t="s">
        <v>156</v>
      </c>
      <c r="B59" s="65" t="s">
        <v>158</v>
      </c>
      <c r="C59" s="46">
        <f>+Grunnlagstall!G20</f>
        <v>10658593.773430044</v>
      </c>
      <c r="D59" s="46">
        <f>+Grunnlagstall!H20</f>
        <v>10904126.716830069</v>
      </c>
      <c r="E59" s="46">
        <f>+Grunnlagstall!I20</f>
        <v>10028321.423190072</v>
      </c>
      <c r="F59" s="46">
        <f>+Grunnlagstall!J20</f>
        <v>9923174.4379000552</v>
      </c>
      <c r="G59" s="46">
        <f>+Grunnlagstall!K20</f>
        <v>10034092.177220032</v>
      </c>
      <c r="H59" s="46">
        <f>+Grunnlagstall!L20</f>
        <v>10068578.189180031</v>
      </c>
      <c r="I59" s="46">
        <f>+Grunnlagstall!M20</f>
        <v>9933980.8027600218</v>
      </c>
      <c r="J59" s="46">
        <f>+Grunnlagstall!N20</f>
        <v>9903986.891990032</v>
      </c>
      <c r="K59" s="46">
        <f>+Grunnlagstall!O20</f>
        <v>9714233.5407400448</v>
      </c>
      <c r="L59" s="47">
        <f>+Grunnlagstall!P20</f>
        <v>9856150.2072700337</v>
      </c>
      <c r="N59" s="29"/>
    </row>
    <row r="60" spans="1:14" x14ac:dyDescent="0.2">
      <c r="A60" s="45" t="s">
        <v>157</v>
      </c>
      <c r="B60" s="68" t="s">
        <v>161</v>
      </c>
      <c r="C60" s="46">
        <f>+C58-C59</f>
        <v>-59627.311430044472</v>
      </c>
      <c r="D60" s="46">
        <f>+D58-D59</f>
        <v>-66084.178830068558</v>
      </c>
      <c r="E60" s="46">
        <f>+E58-E59</f>
        <v>643245.12955996022</v>
      </c>
      <c r="F60" s="46">
        <f>+F58-F59</f>
        <v>728030.32410997897</v>
      </c>
      <c r="G60" s="46">
        <f>+G58-G59</f>
        <v>624501.59621001221</v>
      </c>
      <c r="H60" s="46">
        <f t="shared" ref="H60:L60" si="28">+H58-H59</f>
        <v>835548.52765003778</v>
      </c>
      <c r="I60" s="46">
        <f t="shared" si="28"/>
        <v>94340.620430050418</v>
      </c>
      <c r="J60" s="46">
        <f t="shared" si="28"/>
        <v>19187.545910023153</v>
      </c>
      <c r="K60" s="46">
        <f t="shared" si="28"/>
        <v>319858.63647998683</v>
      </c>
      <c r="L60" s="47">
        <f t="shared" si="28"/>
        <v>212427.98190999776</v>
      </c>
      <c r="N60" s="29"/>
    </row>
    <row r="61" spans="1:14" x14ac:dyDescent="0.2">
      <c r="A61" s="45" t="s">
        <v>81</v>
      </c>
      <c r="B61" s="68" t="s">
        <v>162</v>
      </c>
      <c r="C61" s="53">
        <f>+C60/C59</f>
        <v>-5.5942943973232781E-3</v>
      </c>
      <c r="D61" s="53">
        <f>+D60/D59</f>
        <v>-6.06047421735024E-3</v>
      </c>
      <c r="E61" s="53">
        <f>+E60/E59</f>
        <v>6.4142851272445539E-2</v>
      </c>
      <c r="F61" s="53">
        <f>+F60/F59</f>
        <v>7.33666760234888E-2</v>
      </c>
      <c r="G61" s="53">
        <f>+G60/G59</f>
        <v>6.2237976807487515E-2</v>
      </c>
      <c r="H61" s="53">
        <f t="shared" ref="H61:L61" si="29">+H60/H59</f>
        <v>8.2985751508384872E-2</v>
      </c>
      <c r="I61" s="53">
        <f t="shared" si="29"/>
        <v>9.4967588827873668E-3</v>
      </c>
      <c r="J61" s="53">
        <f t="shared" si="29"/>
        <v>1.9373557456483822E-3</v>
      </c>
      <c r="K61" s="53">
        <f t="shared" si="29"/>
        <v>3.2926801186995092E-2</v>
      </c>
      <c r="L61" s="54">
        <f t="shared" si="29"/>
        <v>2.1552835279773631E-2</v>
      </c>
      <c r="N61" s="29"/>
    </row>
    <row r="62" spans="1:14" x14ac:dyDescent="0.2">
      <c r="A62" s="45"/>
      <c r="B62" s="65"/>
      <c r="C62" s="132"/>
      <c r="D62" s="132"/>
      <c r="E62" s="132"/>
      <c r="F62" s="132"/>
      <c r="G62" s="43"/>
      <c r="H62" s="43"/>
      <c r="I62" s="43"/>
      <c r="J62" s="43"/>
      <c r="K62" s="43"/>
      <c r="L62" s="44"/>
      <c r="N62" s="29"/>
    </row>
    <row r="63" spans="1:14" x14ac:dyDescent="0.2">
      <c r="A63" s="71" t="s">
        <v>152</v>
      </c>
      <c r="B63" s="66" t="s">
        <v>150</v>
      </c>
      <c r="C63" s="49">
        <f>+Grunnlagstall!C19</f>
        <v>18764829.274999999</v>
      </c>
      <c r="D63" s="49">
        <f>+Grunnlagstall!D19</f>
        <v>19228385.669</v>
      </c>
      <c r="E63" s="49">
        <f>+Grunnlagstall!E19</f>
        <v>18802793.790859867</v>
      </c>
      <c r="F63" s="49">
        <f>+Grunnlagstall!F19</f>
        <v>18836623.624359865</v>
      </c>
      <c r="G63" s="49">
        <f>+Grunnlagstall!G19</f>
        <v>18858337.343439784</v>
      </c>
      <c r="H63" s="49">
        <f>+Grunnlagstall!H19</f>
        <v>18548959.305619802</v>
      </c>
      <c r="I63" s="49">
        <f>+Grunnlagstall!I19</f>
        <v>17967360.297719706</v>
      </c>
      <c r="J63" s="49">
        <f>+Grunnlagstall!J19</f>
        <v>17730021.602289729</v>
      </c>
      <c r="K63" s="49">
        <f>+Grunnlagstall!K19</f>
        <v>17778799.599719867</v>
      </c>
      <c r="L63" s="50">
        <f>+Grunnlagstall!L19</f>
        <v>17358838.674029812</v>
      </c>
      <c r="N63" s="29"/>
    </row>
    <row r="64" spans="1:14" x14ac:dyDescent="0.2">
      <c r="A64" s="71" t="s">
        <v>153</v>
      </c>
      <c r="B64" s="66" t="s">
        <v>155</v>
      </c>
      <c r="C64" s="49">
        <f>+Grunnlagstall!G19</f>
        <v>18858337.343439784</v>
      </c>
      <c r="D64" s="49">
        <f>+Grunnlagstall!H19</f>
        <v>18548959.305619802</v>
      </c>
      <c r="E64" s="49">
        <f>+Grunnlagstall!I19</f>
        <v>17967360.297719706</v>
      </c>
      <c r="F64" s="49">
        <f>+Grunnlagstall!J19</f>
        <v>17730021.602289729</v>
      </c>
      <c r="G64" s="49">
        <f>+Grunnlagstall!K19</f>
        <v>17778799.599719867</v>
      </c>
      <c r="H64" s="49">
        <f>+Grunnlagstall!L19</f>
        <v>17358838.674029812</v>
      </c>
      <c r="I64" s="49">
        <f>+Grunnlagstall!M19</f>
        <v>16167063.651719812</v>
      </c>
      <c r="J64" s="49">
        <f>+Grunnlagstall!N19</f>
        <v>15679321.866809871</v>
      </c>
      <c r="K64" s="49">
        <f>+Grunnlagstall!O19</f>
        <v>15478086.649019852</v>
      </c>
      <c r="L64" s="50">
        <f>+Grunnlagstall!P19</f>
        <v>15228749.09817986</v>
      </c>
      <c r="N64" s="29"/>
    </row>
    <row r="65" spans="1:14" x14ac:dyDescent="0.2">
      <c r="A65" s="48" t="s">
        <v>29</v>
      </c>
      <c r="B65" s="66" t="s">
        <v>165</v>
      </c>
      <c r="C65" s="49">
        <f>+Grunnlagstall!C26</f>
        <v>3606378</v>
      </c>
      <c r="D65" s="49">
        <f>+Grunnlagstall!D26</f>
        <v>2913291</v>
      </c>
      <c r="E65" s="49">
        <f>+Grunnlagstall!E26</f>
        <v>2796350</v>
      </c>
      <c r="F65" s="49">
        <f>+Grunnlagstall!F26</f>
        <v>2583525</v>
      </c>
      <c r="G65" s="49">
        <f>+Grunnlagstall!G26</f>
        <v>2314942</v>
      </c>
      <c r="H65" s="49">
        <f>+Grunnlagstall!H26</f>
        <v>2275765</v>
      </c>
      <c r="I65" s="49">
        <f>+Grunnlagstall!I26</f>
        <v>2427530</v>
      </c>
      <c r="J65" s="49">
        <f>+Grunnlagstall!J26</f>
        <v>2399721</v>
      </c>
      <c r="K65" s="49">
        <f>+Grunnlagstall!K26</f>
        <v>2433214.9</v>
      </c>
      <c r="L65" s="50">
        <f>+Grunnlagstall!L26</f>
        <v>2513001</v>
      </c>
      <c r="N65" s="29"/>
    </row>
    <row r="66" spans="1:14" x14ac:dyDescent="0.2">
      <c r="A66" s="48" t="s">
        <v>163</v>
      </c>
      <c r="B66" s="66" t="s">
        <v>166</v>
      </c>
      <c r="C66" s="49">
        <f>+Grunnlagstall!G26</f>
        <v>2314942</v>
      </c>
      <c r="D66" s="49">
        <f>+Grunnlagstall!H26</f>
        <v>2275765</v>
      </c>
      <c r="E66" s="49">
        <f>+Grunnlagstall!I26</f>
        <v>2427530</v>
      </c>
      <c r="F66" s="49">
        <f>+Grunnlagstall!J26</f>
        <v>2399721</v>
      </c>
      <c r="G66" s="49">
        <f>+Grunnlagstall!K26</f>
        <v>2433214.9</v>
      </c>
      <c r="H66" s="49">
        <f>+Grunnlagstall!L26</f>
        <v>2513001</v>
      </c>
      <c r="I66" s="49">
        <f>+Grunnlagstall!M26</f>
        <v>2681504</v>
      </c>
      <c r="J66" s="49">
        <f>+Grunnlagstall!N26</f>
        <v>2853917</v>
      </c>
      <c r="K66" s="49">
        <f>+Grunnlagstall!O26</f>
        <v>3009916.1230000001</v>
      </c>
      <c r="L66" s="50">
        <f>+Grunnlagstall!P26</f>
        <v>3002556.77</v>
      </c>
      <c r="N66" s="29"/>
    </row>
    <row r="67" spans="1:14" x14ac:dyDescent="0.2">
      <c r="A67" s="71" t="s">
        <v>164</v>
      </c>
      <c r="B67" s="67" t="s">
        <v>167</v>
      </c>
      <c r="C67" s="49">
        <f>+C63-C64+C65-C66</f>
        <v>1197927.9315602146</v>
      </c>
      <c r="D67" s="49">
        <f>+D63-D64+D65-D66</f>
        <v>1316952.3633801974</v>
      </c>
      <c r="E67" s="49">
        <f>+E63-E64+E65-E66</f>
        <v>1204253.493140161</v>
      </c>
      <c r="F67" s="49">
        <f>+F63-F64+F65-F66</f>
        <v>1290406.0220701359</v>
      </c>
      <c r="G67" s="49">
        <f>+G63-G64+G65-G66</f>
        <v>961264.84371991688</v>
      </c>
      <c r="H67" s="49">
        <f t="shared" ref="H67:L67" si="30">+H63-H64+H65-H66</f>
        <v>952884.63158999011</v>
      </c>
      <c r="I67" s="49">
        <f t="shared" si="30"/>
        <v>1546322.6459998935</v>
      </c>
      <c r="J67" s="49">
        <f t="shared" si="30"/>
        <v>1596503.7354798578</v>
      </c>
      <c r="K67" s="49">
        <f t="shared" si="30"/>
        <v>1724011.7277000151</v>
      </c>
      <c r="L67" s="50">
        <f t="shared" si="30"/>
        <v>1640533.8058499522</v>
      </c>
      <c r="N67" s="29"/>
    </row>
    <row r="68" spans="1:14" x14ac:dyDescent="0.2">
      <c r="A68" s="71" t="s">
        <v>30</v>
      </c>
      <c r="B68" s="67" t="s">
        <v>168</v>
      </c>
      <c r="C68" s="51">
        <f>+C67/(C64+C66)</f>
        <v>5.657734506447034E-2</v>
      </c>
      <c r="D68" s="51">
        <f>+D67/(D64+D66)</f>
        <v>6.3239846254521698E-2</v>
      </c>
      <c r="E68" s="51">
        <f>+E67/(E64+E66)</f>
        <v>5.9046823766186432E-2</v>
      </c>
      <c r="F68" s="51">
        <f>+F67/(F64+F66)</f>
        <v>6.4104447213515492E-2</v>
      </c>
      <c r="G68" s="51">
        <f>+G67/(G64+G66)</f>
        <v>4.7559081443031809E-2</v>
      </c>
      <c r="H68" s="51">
        <f t="shared" ref="H68:L68" si="31">+H67/(H64+H66)</f>
        <v>4.7951505608979914E-2</v>
      </c>
      <c r="I68" s="51">
        <f t="shared" si="31"/>
        <v>8.203926550667108E-2</v>
      </c>
      <c r="J68" s="51">
        <f t="shared" si="31"/>
        <v>8.6142726964953009E-2</v>
      </c>
      <c r="K68" s="51">
        <f t="shared" si="31"/>
        <v>9.3250295824769791E-2</v>
      </c>
      <c r="L68" s="52">
        <f t="shared" si="31"/>
        <v>8.9984437632263603E-2</v>
      </c>
      <c r="N68" s="29"/>
    </row>
    <row r="69" spans="1:14" x14ac:dyDescent="0.2">
      <c r="A69" s="45"/>
      <c r="B69" s="65"/>
      <c r="C69" s="132"/>
      <c r="D69" s="132"/>
      <c r="E69" s="132"/>
      <c r="F69" s="132"/>
      <c r="G69" s="43"/>
      <c r="H69" s="43"/>
      <c r="I69" s="43"/>
      <c r="J69" s="43"/>
      <c r="K69" s="43"/>
      <c r="L69" s="44"/>
      <c r="N69" s="29"/>
    </row>
    <row r="70" spans="1:14" x14ac:dyDescent="0.2">
      <c r="A70" s="45" t="str">
        <f>+Grunnlagstall!A7</f>
        <v>Tap på utlån, garantier m.v.</v>
      </c>
      <c r="B70" s="65" t="s">
        <v>169</v>
      </c>
      <c r="C70" s="46">
        <f>+Grunnlagstall!C7</f>
        <v>12689.493999999999</v>
      </c>
      <c r="D70" s="46">
        <f>+Grunnlagstall!D7</f>
        <v>9202</v>
      </c>
      <c r="E70" s="46">
        <f>+Grunnlagstall!E7</f>
        <v>6582.912559999977</v>
      </c>
      <c r="F70" s="46">
        <f>+Grunnlagstall!F7</f>
        <v>7192.5865100000083</v>
      </c>
      <c r="G70" s="46">
        <f>+Grunnlagstall!G7</f>
        <v>3773.4349199999924</v>
      </c>
      <c r="H70" s="46">
        <f>+Grunnlagstall!H7</f>
        <v>1906.0518000000197</v>
      </c>
      <c r="I70" s="46">
        <f>+Grunnlagstall!I7</f>
        <v>5164.93090999998</v>
      </c>
      <c r="J70" s="46">
        <f>+Grunnlagstall!J7</f>
        <v>5342.531860000181</v>
      </c>
      <c r="K70" s="46">
        <f>+Grunnlagstall!K7</f>
        <v>-1139.7558300000921</v>
      </c>
      <c r="L70" s="47">
        <f>+Grunnlagstall!L7</f>
        <v>-1619.1731199999551</v>
      </c>
      <c r="N70" s="29"/>
    </row>
    <row r="71" spans="1:14" x14ac:dyDescent="0.2">
      <c r="A71" s="42" t="str">
        <f>+Grunnlagstall!A19</f>
        <v>Netto utlån til og fordringer på kunder</v>
      </c>
      <c r="B71" s="65" t="s">
        <v>150</v>
      </c>
      <c r="C71" s="46">
        <f>+Grunnlagstall!C19</f>
        <v>18764829.274999999</v>
      </c>
      <c r="D71" s="46">
        <f>+Grunnlagstall!D19</f>
        <v>19228385.669</v>
      </c>
      <c r="E71" s="46">
        <f>+Grunnlagstall!E19</f>
        <v>18802793.790859867</v>
      </c>
      <c r="F71" s="46">
        <f>+Grunnlagstall!F19</f>
        <v>18836623.624359865</v>
      </c>
      <c r="G71" s="46">
        <f>+Grunnlagstall!G19</f>
        <v>18858337.343439784</v>
      </c>
      <c r="H71" s="46">
        <f>+Grunnlagstall!H19</f>
        <v>18548959.305619802</v>
      </c>
      <c r="I71" s="46">
        <f>+Grunnlagstall!I19</f>
        <v>17967360.297719706</v>
      </c>
      <c r="J71" s="46">
        <f>+Grunnlagstall!J19</f>
        <v>17730021.602289729</v>
      </c>
      <c r="K71" s="46">
        <f>+Grunnlagstall!K19</f>
        <v>17778799.599719867</v>
      </c>
      <c r="L71" s="47">
        <f>+Grunnlagstall!L19</f>
        <v>17358838.674029812</v>
      </c>
      <c r="N71" s="29"/>
    </row>
    <row r="72" spans="1:14" x14ac:dyDescent="0.2">
      <c r="A72" s="42" t="s">
        <v>48</v>
      </c>
      <c r="B72" s="68" t="s">
        <v>170</v>
      </c>
      <c r="C72" s="55">
        <f>+C70*100/C71</f>
        <v>6.7623818016324583E-2</v>
      </c>
      <c r="D72" s="55">
        <f>+D70*100/D71</f>
        <v>4.7856331563161138E-2</v>
      </c>
      <c r="E72" s="55">
        <f>+E70*100/E71</f>
        <v>3.5010289604941389E-2</v>
      </c>
      <c r="F72" s="55">
        <f>+F70*100/F71</f>
        <v>3.8184053859304297E-2</v>
      </c>
      <c r="G72" s="55">
        <f>+G70*100/G71</f>
        <v>2.0009372254191065E-2</v>
      </c>
      <c r="H72" s="55">
        <f t="shared" ref="H72:L72" si="32">+H70*100/H71</f>
        <v>1.02757883533797E-2</v>
      </c>
      <c r="I72" s="55">
        <f t="shared" si="32"/>
        <v>2.874618655393401E-2</v>
      </c>
      <c r="J72" s="55">
        <f t="shared" si="32"/>
        <v>3.0132686692892832E-2</v>
      </c>
      <c r="K72" s="55">
        <f t="shared" si="32"/>
        <v>-6.4107580695045956E-3</v>
      </c>
      <c r="L72" s="56">
        <f t="shared" si="32"/>
        <v>-9.327658090528634E-3</v>
      </c>
      <c r="N72" s="29"/>
    </row>
    <row r="73" spans="1:14" x14ac:dyDescent="0.2">
      <c r="A73" s="42"/>
      <c r="B73" s="65"/>
      <c r="C73" s="132"/>
      <c r="D73" s="132"/>
      <c r="E73" s="132"/>
      <c r="F73" s="132"/>
      <c r="G73" s="43"/>
      <c r="H73" s="43"/>
      <c r="I73" s="43"/>
      <c r="J73" s="43"/>
      <c r="K73" s="43"/>
      <c r="L73" s="44"/>
      <c r="N73" s="29"/>
    </row>
    <row r="74" spans="1:14" x14ac:dyDescent="0.2">
      <c r="A74" s="48" t="str">
        <f>+Grunnlagstall!A23</f>
        <v>Egenkapital</v>
      </c>
      <c r="B74" s="66" t="s">
        <v>171</v>
      </c>
      <c r="C74" s="49">
        <f>+Grunnlagstall!C23</f>
        <v>2630001.9828600003</v>
      </c>
      <c r="D74" s="49">
        <f>+Grunnlagstall!D23</f>
        <v>2559466.5638600001</v>
      </c>
      <c r="E74" s="49">
        <f>+Grunnlagstall!E23</f>
        <v>2456800.7400400015</v>
      </c>
      <c r="F74" s="49">
        <f>+Grunnlagstall!F23</f>
        <v>2490219.4010399999</v>
      </c>
      <c r="G74" s="49">
        <f>+Grunnlagstall!G23</f>
        <v>2359403.77032999</v>
      </c>
      <c r="H74" s="49">
        <f>+Grunnlagstall!H23</f>
        <v>2301655.3292599982</v>
      </c>
      <c r="I74" s="49">
        <f>+Grunnlagstall!I23</f>
        <v>2254318.5344100003</v>
      </c>
      <c r="J74" s="49">
        <f>+Grunnlagstall!J23</f>
        <v>2184038.0129200094</v>
      </c>
      <c r="K74" s="49">
        <f>+Grunnlagstall!K23</f>
        <v>2144254.0391100007</v>
      </c>
      <c r="L74" s="50">
        <f>+Grunnlagstall!L23</f>
        <v>2058826.1869700002</v>
      </c>
      <c r="N74" s="29"/>
    </row>
    <row r="75" spans="1:14" x14ac:dyDescent="0.2">
      <c r="A75" s="71" t="s">
        <v>139</v>
      </c>
      <c r="B75" s="66" t="s">
        <v>142</v>
      </c>
      <c r="C75" s="49">
        <f>+Grunnlagstall!C30</f>
        <v>125000</v>
      </c>
      <c r="D75" s="49">
        <f>+Grunnlagstall!D30</f>
        <v>125000</v>
      </c>
      <c r="E75" s="49">
        <f>+Grunnlagstall!E30</f>
        <v>125000</v>
      </c>
      <c r="F75" s="49">
        <f>+Grunnlagstall!F30</f>
        <v>125000</v>
      </c>
      <c r="G75" s="49">
        <f>+Grunnlagstall!G30</f>
        <v>125000</v>
      </c>
      <c r="H75" s="49">
        <f>+Grunnlagstall!H30</f>
        <v>125000</v>
      </c>
      <c r="I75" s="49">
        <f>+Grunnlagstall!I30</f>
        <v>125000</v>
      </c>
      <c r="J75" s="49">
        <f>+Grunnlagstall!J30</f>
        <v>125000</v>
      </c>
      <c r="K75" s="49">
        <f>+Grunnlagstall!K30</f>
        <v>143000</v>
      </c>
      <c r="L75" s="50">
        <f>+Grunnlagstall!L30</f>
        <v>143000</v>
      </c>
      <c r="N75" s="29"/>
    </row>
    <row r="76" spans="1:14" x14ac:dyDescent="0.2">
      <c r="A76" s="48" t="s">
        <v>63</v>
      </c>
      <c r="B76" s="66" t="s">
        <v>172</v>
      </c>
      <c r="C76" s="74">
        <f>+Grunnlagstall!C34</f>
        <v>48.48</v>
      </c>
      <c r="D76" s="74">
        <f>+Grunnlagstall!D34</f>
        <v>48.48</v>
      </c>
      <c r="E76" s="74">
        <f>+Grunnlagstall!E34</f>
        <v>48.48</v>
      </c>
      <c r="F76" s="74">
        <f>+Grunnlagstall!F34</f>
        <v>49.97</v>
      </c>
      <c r="G76" s="74">
        <f>+Grunnlagstall!G34</f>
        <v>49.97</v>
      </c>
      <c r="H76" s="74">
        <f>+Grunnlagstall!H34</f>
        <v>49.97</v>
      </c>
      <c r="I76" s="74">
        <f>+Grunnlagstall!I34</f>
        <v>49.97</v>
      </c>
      <c r="J76" s="74">
        <f>+Grunnlagstall!J34</f>
        <v>51.39</v>
      </c>
      <c r="K76" s="74">
        <f>+Grunnlagstall!K34</f>
        <v>51.39</v>
      </c>
      <c r="L76" s="75">
        <f>+Grunnlagstall!L34</f>
        <v>51.39</v>
      </c>
      <c r="N76" s="29"/>
    </row>
    <row r="77" spans="1:14" x14ac:dyDescent="0.2">
      <c r="A77" s="71" t="s">
        <v>173</v>
      </c>
      <c r="B77" s="66" t="s">
        <v>174</v>
      </c>
      <c r="C77" s="39">
        <f>+Grunnlagstall!C33</f>
        <v>6124.5339999999997</v>
      </c>
      <c r="D77" s="39">
        <f>+Grunnlagstall!D33</f>
        <v>6124.5339999999997</v>
      </c>
      <c r="E77" s="39">
        <f>+Grunnlagstall!E33</f>
        <v>6124.5339999999997</v>
      </c>
      <c r="F77" s="39">
        <f>+Grunnlagstall!F33</f>
        <v>6124.5339999999997</v>
      </c>
      <c r="G77" s="39">
        <f>+Grunnlagstall!G33</f>
        <v>6124.5339999999997</v>
      </c>
      <c r="H77" s="39">
        <f>+Grunnlagstall!H33</f>
        <v>6124.5339999999997</v>
      </c>
      <c r="I77" s="39">
        <f>+Grunnlagstall!I33</f>
        <v>6124.5339999999997</v>
      </c>
      <c r="J77" s="39">
        <f>+Grunnlagstall!J33</f>
        <v>6124.5339999999997</v>
      </c>
      <c r="K77" s="39">
        <f>+Grunnlagstall!K33</f>
        <v>6124.5339999999997</v>
      </c>
      <c r="L77" s="40">
        <f>+Grunnlagstall!L33</f>
        <v>6124.5339999999997</v>
      </c>
      <c r="N77" s="29"/>
    </row>
    <row r="78" spans="1:14" x14ac:dyDescent="0.2">
      <c r="A78" s="71" t="s">
        <v>32</v>
      </c>
      <c r="B78" s="67" t="s">
        <v>175</v>
      </c>
      <c r="C78" s="76">
        <f>+((C74-C75)*C76/100)/C77</f>
        <v>198.28854918439967</v>
      </c>
      <c r="D78" s="76">
        <f>+((D74-D75)*D76/100)/D77</f>
        <v>192.70517400333284</v>
      </c>
      <c r="E78" s="76">
        <f>+((E74-E75)*E76/100)/E77</f>
        <v>184.57845099258046</v>
      </c>
      <c r="F78" s="76">
        <f>+((F74-F75)*F76/100)/F77</f>
        <v>192.97796937688454</v>
      </c>
      <c r="G78" s="76">
        <f>+((G74-G75)*G76/100)/G77</f>
        <v>182.30473763945076</v>
      </c>
      <c r="H78" s="76">
        <f t="shared" ref="H78:L78" si="33">+((H74-H75)*H76/100)/H77</f>
        <v>177.59304920688189</v>
      </c>
      <c r="I78" s="76">
        <f t="shared" si="33"/>
        <v>173.7308457500076</v>
      </c>
      <c r="J78" s="76">
        <f t="shared" si="33"/>
        <v>172.77063607444958</v>
      </c>
      <c r="K78" s="76">
        <f t="shared" si="33"/>
        <v>167.92207385878328</v>
      </c>
      <c r="L78" s="77">
        <f t="shared" si="33"/>
        <v>160.75395735967555</v>
      </c>
      <c r="N78" s="29"/>
    </row>
    <row r="79" spans="1:14" x14ac:dyDescent="0.2">
      <c r="A79" s="45"/>
      <c r="B79" s="65"/>
      <c r="C79" s="132"/>
      <c r="D79" s="132"/>
      <c r="E79" s="132"/>
      <c r="F79" s="132"/>
      <c r="G79" s="43"/>
      <c r="H79" s="43"/>
      <c r="I79" s="43"/>
      <c r="J79" s="43"/>
      <c r="K79" s="43"/>
      <c r="L79" s="44"/>
      <c r="N79" s="29"/>
    </row>
    <row r="80" spans="1:14" x14ac:dyDescent="0.2">
      <c r="A80" s="42" t="str">
        <f>+Grunnlagstall!A10</f>
        <v>Resultat av ordinær drift etter skatt</v>
      </c>
      <c r="B80" s="65" t="s">
        <v>135</v>
      </c>
      <c r="C80" s="46">
        <f>+Grunnlagstall!C10</f>
        <v>70535.418999999965</v>
      </c>
      <c r="D80" s="46">
        <f>+Grunnlagstall!D10</f>
        <v>102666</v>
      </c>
      <c r="E80" s="46">
        <f>+Grunnlagstall!E10</f>
        <v>58571.757180000408</v>
      </c>
      <c r="F80" s="46">
        <f>+Grunnlagstall!F10</f>
        <v>61144.122009995088</v>
      </c>
      <c r="G80" s="46">
        <f>+Grunnlagstall!G10</f>
        <v>57776.199069998082</v>
      </c>
      <c r="H80" s="46">
        <f>+Grunnlagstall!H10</f>
        <v>83436.168990000238</v>
      </c>
      <c r="I80" s="46">
        <f>+Grunnlagstall!I10</f>
        <v>42262.246000000057</v>
      </c>
      <c r="J80" s="46">
        <f>+Grunnlagstall!J10</f>
        <v>54679.009679999588</v>
      </c>
      <c r="K80" s="46">
        <f>+Grunnlagstall!K10</f>
        <v>54276.084140001709</v>
      </c>
      <c r="L80" s="47">
        <f>+Grunnlagstall!L10</f>
        <v>54907.300619999311</v>
      </c>
      <c r="N80" s="29"/>
    </row>
    <row r="81" spans="1:14" x14ac:dyDescent="0.2">
      <c r="A81" s="42" t="str">
        <f t="shared" ref="A81:L81" si="34">+A34</f>
        <v>Renter på fondsobligasjoner</v>
      </c>
      <c r="B81" s="64" t="str">
        <f t="shared" si="34"/>
        <v>A10</v>
      </c>
      <c r="C81" s="46">
        <f t="shared" si="34"/>
        <v>2427</v>
      </c>
      <c r="D81" s="46">
        <f t="shared" ref="D81:E81" si="35">+D34</f>
        <v>2352</v>
      </c>
      <c r="E81" s="46">
        <f t="shared" si="35"/>
        <v>2174</v>
      </c>
      <c r="F81" s="46">
        <f t="shared" si="34"/>
        <v>2167</v>
      </c>
      <c r="G81" s="46">
        <f t="shared" si="34"/>
        <v>1914</v>
      </c>
      <c r="H81" s="46">
        <f t="shared" si="34"/>
        <v>1321</v>
      </c>
      <c r="I81" s="46">
        <f t="shared" si="34"/>
        <v>1437</v>
      </c>
      <c r="J81" s="46">
        <f t="shared" si="34"/>
        <v>1460</v>
      </c>
      <c r="K81" s="46">
        <f t="shared" si="34"/>
        <v>1343</v>
      </c>
      <c r="L81" s="47">
        <f t="shared" si="34"/>
        <v>1409</v>
      </c>
      <c r="N81" s="29"/>
    </row>
    <row r="82" spans="1:14" x14ac:dyDescent="0.2">
      <c r="A82" s="42" t="str">
        <f>+A35</f>
        <v>Resultat av ordinær drift etter skatt fratrukket renter på fondsobligasjoner</v>
      </c>
      <c r="B82" s="68" t="s">
        <v>140</v>
      </c>
      <c r="C82" s="46">
        <f>+C80-C81</f>
        <v>68108.418999999965</v>
      </c>
      <c r="D82" s="46">
        <f>+D80-D81</f>
        <v>100314</v>
      </c>
      <c r="E82" s="46">
        <f>+E80-E81</f>
        <v>56397.757180000408</v>
      </c>
      <c r="F82" s="46">
        <f>+F80-F81</f>
        <v>58977.122009995088</v>
      </c>
      <c r="G82" s="46">
        <f>+G80-G81</f>
        <v>55862.199069998082</v>
      </c>
      <c r="H82" s="46">
        <f t="shared" ref="H82:L82" si="36">+H80-H81</f>
        <v>82115.168990000238</v>
      </c>
      <c r="I82" s="46">
        <f t="shared" si="36"/>
        <v>40825.246000000057</v>
      </c>
      <c r="J82" s="46">
        <f t="shared" si="36"/>
        <v>53219.009679999588</v>
      </c>
      <c r="K82" s="46">
        <f t="shared" si="36"/>
        <v>52933.084140001709</v>
      </c>
      <c r="L82" s="47">
        <f t="shared" si="36"/>
        <v>53498.300619999311</v>
      </c>
      <c r="N82" s="29"/>
    </row>
    <row r="83" spans="1:14" x14ac:dyDescent="0.2">
      <c r="A83" s="45" t="s">
        <v>63</v>
      </c>
      <c r="B83" s="65" t="s">
        <v>172</v>
      </c>
      <c r="C83" s="57">
        <f t="shared" ref="C83:D83" si="37">+C76</f>
        <v>48.48</v>
      </c>
      <c r="D83" s="57">
        <f t="shared" si="37"/>
        <v>48.48</v>
      </c>
      <c r="E83" s="57">
        <f t="shared" ref="E83:G84" si="38">+E76</f>
        <v>48.48</v>
      </c>
      <c r="F83" s="57">
        <f t="shared" si="38"/>
        <v>49.97</v>
      </c>
      <c r="G83" s="57">
        <f t="shared" si="38"/>
        <v>49.97</v>
      </c>
      <c r="H83" s="57">
        <f t="shared" ref="H83:L83" si="39">+H76</f>
        <v>49.97</v>
      </c>
      <c r="I83" s="57">
        <f t="shared" si="39"/>
        <v>49.97</v>
      </c>
      <c r="J83" s="57">
        <f t="shared" si="39"/>
        <v>51.39</v>
      </c>
      <c r="K83" s="57">
        <f t="shared" si="39"/>
        <v>51.39</v>
      </c>
      <c r="L83" s="58">
        <f t="shared" si="39"/>
        <v>51.39</v>
      </c>
      <c r="N83" s="29"/>
    </row>
    <row r="84" spans="1:14" x14ac:dyDescent="0.2">
      <c r="A84" s="42" t="s">
        <v>173</v>
      </c>
      <c r="B84" s="65" t="s">
        <v>174</v>
      </c>
      <c r="C84" s="43">
        <f t="shared" ref="C84:D84" si="40">+C77</f>
        <v>6124.5339999999997</v>
      </c>
      <c r="D84" s="43">
        <f t="shared" si="40"/>
        <v>6124.5339999999997</v>
      </c>
      <c r="E84" s="43">
        <f t="shared" si="38"/>
        <v>6124.5339999999997</v>
      </c>
      <c r="F84" s="43">
        <f t="shared" si="38"/>
        <v>6124.5339999999997</v>
      </c>
      <c r="G84" s="43">
        <f t="shared" si="38"/>
        <v>6124.5339999999997</v>
      </c>
      <c r="H84" s="43">
        <f t="shared" ref="H84:L84" si="41">+H77</f>
        <v>6124.5339999999997</v>
      </c>
      <c r="I84" s="43">
        <f t="shared" si="41"/>
        <v>6124.5339999999997</v>
      </c>
      <c r="J84" s="43">
        <f t="shared" si="41"/>
        <v>6124.5339999999997</v>
      </c>
      <c r="K84" s="43">
        <f t="shared" si="41"/>
        <v>6124.5339999999997</v>
      </c>
      <c r="L84" s="44">
        <f t="shared" si="41"/>
        <v>6124.5339999999997</v>
      </c>
      <c r="N84" s="29"/>
    </row>
    <row r="85" spans="1:14" x14ac:dyDescent="0.2">
      <c r="A85" s="42" t="s">
        <v>33</v>
      </c>
      <c r="B85" s="68" t="s">
        <v>176</v>
      </c>
      <c r="C85" s="59">
        <f>+(C82*C83/100)/C84</f>
        <v>5.391261038178575</v>
      </c>
      <c r="D85" s="59">
        <f>+(D82*D83/100)/D84</f>
        <v>7.9405595919624243</v>
      </c>
      <c r="E85" s="59">
        <f>+(E82*E83/100)/E84</f>
        <v>4.4642796792154629</v>
      </c>
      <c r="F85" s="59">
        <f>+(F82*F83/100)/F84</f>
        <v>4.8119363642024924</v>
      </c>
      <c r="G85" s="59">
        <f>+(G82*G83/100)/G84</f>
        <v>4.5577901723262606</v>
      </c>
      <c r="H85" s="59">
        <f t="shared" ref="H85:L85" si="42">+(H82*H83/100)/H84</f>
        <v>6.6997668629651042</v>
      </c>
      <c r="I85" s="59">
        <f t="shared" si="42"/>
        <v>3.3309269613328998</v>
      </c>
      <c r="J85" s="59">
        <f t="shared" si="42"/>
        <v>4.4655232666765814</v>
      </c>
      <c r="K85" s="59">
        <f t="shared" si="42"/>
        <v>4.4415317050320704</v>
      </c>
      <c r="L85" s="60">
        <f t="shared" si="42"/>
        <v>4.4889581294866918</v>
      </c>
      <c r="N85" s="29"/>
    </row>
    <row r="86" spans="1:14" x14ac:dyDescent="0.2">
      <c r="A86" s="42"/>
      <c r="B86" s="64"/>
      <c r="C86" s="43"/>
      <c r="D86" s="43"/>
      <c r="E86" s="43"/>
      <c r="F86" s="43"/>
      <c r="G86" s="43"/>
      <c r="H86" s="43"/>
      <c r="I86" s="43"/>
      <c r="J86" s="43"/>
      <c r="K86" s="43"/>
      <c r="L86" s="44"/>
      <c r="N86" s="29"/>
    </row>
    <row r="87" spans="1:14" x14ac:dyDescent="0.2">
      <c r="A87" s="48" t="s">
        <v>178</v>
      </c>
      <c r="B87" s="78" t="s">
        <v>179</v>
      </c>
      <c r="C87" s="116">
        <f>+Grunnlagstall!C35</f>
        <v>198</v>
      </c>
      <c r="D87" s="116">
        <f>+Grunnlagstall!D35</f>
        <v>204</v>
      </c>
      <c r="E87" s="116">
        <f>+Grunnlagstall!E35</f>
        <v>208</v>
      </c>
      <c r="F87" s="116">
        <f>+Grunnlagstall!F35</f>
        <v>220</v>
      </c>
      <c r="G87" s="116">
        <f>+Grunnlagstall!G35</f>
        <v>195</v>
      </c>
      <c r="H87" s="116">
        <f>+Grunnlagstall!H35</f>
        <v>202</v>
      </c>
      <c r="I87" s="116">
        <f>+Grunnlagstall!I35</f>
        <v>264</v>
      </c>
      <c r="J87" s="116">
        <f>+Grunnlagstall!J35</f>
        <v>216</v>
      </c>
      <c r="K87" s="116">
        <f>+Grunnlagstall!K35</f>
        <v>185</v>
      </c>
      <c r="L87" s="117">
        <f>+Grunnlagstall!L35</f>
        <v>176</v>
      </c>
      <c r="N87" s="29"/>
    </row>
    <row r="88" spans="1:14" x14ac:dyDescent="0.2">
      <c r="A88" s="71" t="s">
        <v>33</v>
      </c>
      <c r="B88" s="78" t="s">
        <v>180</v>
      </c>
      <c r="C88" s="118">
        <f>+'Utregninger hittil i år'!C51</f>
        <v>17.796086363468632</v>
      </c>
      <c r="D88" s="118">
        <f>+'Utregninger hittil i år'!D51</f>
        <v>12.404858492090991</v>
      </c>
      <c r="E88" s="118">
        <f>+'Utregninger hittil i år'!E51</f>
        <v>4.4642796792154629</v>
      </c>
      <c r="F88" s="118">
        <f>+'Utregninger hittil i år'!F51</f>
        <v>19.400441894844572</v>
      </c>
      <c r="G88" s="118">
        <f>+'Utregninger hittil i år'!G51</f>
        <v>14.588515485423056</v>
      </c>
      <c r="H88" s="118">
        <f>+'Utregninger hittil i år'!H51</f>
        <v>10.033026071861141</v>
      </c>
      <c r="I88" s="118">
        <f>+'Utregninger hittil i år'!I51</f>
        <v>3.3309269613328998</v>
      </c>
      <c r="J88" s="119">
        <f>+'Utregninger hittil i år'!J51</f>
        <v>17.114549662064086</v>
      </c>
      <c r="K88" s="119">
        <f>+'Utregninger hittil i år'!K51</f>
        <v>12.649027207621019</v>
      </c>
      <c r="L88" s="120">
        <f>+'Utregninger hittil i år'!L51</f>
        <v>8.2075025626439508</v>
      </c>
      <c r="N88" s="29"/>
    </row>
    <row r="89" spans="1:14" x14ac:dyDescent="0.2">
      <c r="A89" s="48" t="s">
        <v>177</v>
      </c>
      <c r="B89" s="78" t="s">
        <v>193</v>
      </c>
      <c r="C89" s="119">
        <f>+C87/(C88*4/2)</f>
        <v>5.5630208787492039</v>
      </c>
      <c r="D89" s="119">
        <f>+D87/(D88*4/2)</f>
        <v>8.222584728800614</v>
      </c>
      <c r="E89" s="119">
        <f>+E87/(E88*4/1)</f>
        <v>11.648015746436904</v>
      </c>
      <c r="F89" s="119">
        <f>+F87/(F88*4/4)</f>
        <v>11.339947883272817</v>
      </c>
      <c r="G89" s="119">
        <f>+G87/(G88*4/3)</f>
        <v>10.025009065941903</v>
      </c>
      <c r="H89" s="119">
        <f>+H87/(H88*4/2)</f>
        <v>10.066753467656877</v>
      </c>
      <c r="I89" s="119">
        <f>+I87/(I88*4/1)</f>
        <v>19.814304176033183</v>
      </c>
      <c r="J89" s="119">
        <f>+J87/(J88*4/4)</f>
        <v>12.62084041152325</v>
      </c>
      <c r="K89" s="119">
        <f>+K87/(K88*4/3)</f>
        <v>10.969222986286514</v>
      </c>
      <c r="L89" s="120">
        <f t="shared" ref="L89" si="43">+L87/(L88*4/2)</f>
        <v>10.721897352859532</v>
      </c>
      <c r="N89" s="29"/>
    </row>
    <row r="90" spans="1:14" x14ac:dyDescent="0.2">
      <c r="A90" s="42"/>
      <c r="B90" s="64"/>
      <c r="C90" s="43"/>
      <c r="D90" s="43"/>
      <c r="E90" s="43"/>
      <c r="F90" s="43"/>
      <c r="G90" s="121"/>
      <c r="H90" s="121"/>
      <c r="I90" s="121"/>
      <c r="J90" s="121"/>
      <c r="K90" s="121"/>
      <c r="L90" s="122"/>
      <c r="N90" s="29"/>
    </row>
    <row r="91" spans="1:14" x14ac:dyDescent="0.2">
      <c r="A91" s="42" t="str">
        <f>+A87</f>
        <v>Børskurs</v>
      </c>
      <c r="B91" s="64" t="s">
        <v>179</v>
      </c>
      <c r="C91" s="121">
        <f>+C87</f>
        <v>198</v>
      </c>
      <c r="D91" s="121">
        <f>+D87</f>
        <v>204</v>
      </c>
      <c r="E91" s="121">
        <f>+E87</f>
        <v>208</v>
      </c>
      <c r="F91" s="121">
        <f>+F87</f>
        <v>220</v>
      </c>
      <c r="G91" s="121">
        <f>+G87</f>
        <v>195</v>
      </c>
      <c r="H91" s="121">
        <f t="shared" ref="H91:L91" si="44">+H87</f>
        <v>202</v>
      </c>
      <c r="I91" s="121">
        <f t="shared" si="44"/>
        <v>264</v>
      </c>
      <c r="J91" s="121">
        <f t="shared" si="44"/>
        <v>216</v>
      </c>
      <c r="K91" s="121">
        <f t="shared" si="44"/>
        <v>185</v>
      </c>
      <c r="L91" s="122">
        <f t="shared" si="44"/>
        <v>176</v>
      </c>
      <c r="N91" s="29"/>
    </row>
    <row r="92" spans="1:14" x14ac:dyDescent="0.2">
      <c r="A92" s="42" t="str">
        <f>+A78</f>
        <v>Bokført egenkapital per egenkapitalbevis</v>
      </c>
      <c r="B92" s="64" t="s">
        <v>181</v>
      </c>
      <c r="C92" s="123">
        <f>+C78</f>
        <v>198.28854918439967</v>
      </c>
      <c r="D92" s="123">
        <f>+D78</f>
        <v>192.70517400333284</v>
      </c>
      <c r="E92" s="123">
        <f>+E78</f>
        <v>184.57845099258046</v>
      </c>
      <c r="F92" s="123">
        <f>+F78</f>
        <v>192.97796937688454</v>
      </c>
      <c r="G92" s="123">
        <f>+G78</f>
        <v>182.30473763945076</v>
      </c>
      <c r="H92" s="123">
        <f t="shared" ref="H92:L92" si="45">+H78</f>
        <v>177.59304920688189</v>
      </c>
      <c r="I92" s="123">
        <f t="shared" si="45"/>
        <v>173.7308457500076</v>
      </c>
      <c r="J92" s="123">
        <f t="shared" si="45"/>
        <v>172.77063607444958</v>
      </c>
      <c r="K92" s="123">
        <f t="shared" si="45"/>
        <v>167.92207385878328</v>
      </c>
      <c r="L92" s="124">
        <f t="shared" si="45"/>
        <v>160.75395735967555</v>
      </c>
      <c r="N92" s="29"/>
    </row>
    <row r="93" spans="1:14" x14ac:dyDescent="0.2">
      <c r="A93" s="42" t="s">
        <v>35</v>
      </c>
      <c r="B93" s="69" t="s">
        <v>182</v>
      </c>
      <c r="C93" s="125">
        <f>+C91/C92</f>
        <v>0.99854480157534797</v>
      </c>
      <c r="D93" s="125">
        <f>+D91/D92</f>
        <v>1.0586119498611481</v>
      </c>
      <c r="E93" s="125">
        <f>+E91/E92</f>
        <v>1.1268921094606057</v>
      </c>
      <c r="F93" s="125">
        <f>+F91/F92</f>
        <v>1.1400265051516925</v>
      </c>
      <c r="G93" s="125">
        <f>+G91/G92</f>
        <v>1.0696375888248006</v>
      </c>
      <c r="H93" s="125">
        <f t="shared" ref="H93:L93" si="46">+H91/H92</f>
        <v>1.1374319034563449</v>
      </c>
      <c r="I93" s="125">
        <f t="shared" si="46"/>
        <v>1.5195919806888321</v>
      </c>
      <c r="J93" s="125">
        <f t="shared" si="46"/>
        <v>1.2502124487573352</v>
      </c>
      <c r="K93" s="125">
        <f t="shared" si="46"/>
        <v>1.1017014961093123</v>
      </c>
      <c r="L93" s="126">
        <f t="shared" si="46"/>
        <v>1.0948408542516468</v>
      </c>
      <c r="N93" s="29"/>
    </row>
    <row r="94" spans="1:14" x14ac:dyDescent="0.2">
      <c r="A94" s="42"/>
      <c r="B94" s="64"/>
      <c r="C94" s="43"/>
      <c r="D94" s="43"/>
      <c r="E94" s="43"/>
      <c r="F94" s="43"/>
      <c r="G94" s="121"/>
      <c r="H94" s="121"/>
      <c r="I94" s="121"/>
      <c r="J94" s="121"/>
      <c r="K94" s="121"/>
      <c r="L94" s="122"/>
      <c r="N94" s="29"/>
    </row>
    <row r="95" spans="1:14" x14ac:dyDescent="0.2">
      <c r="A95" s="71" t="str">
        <f>+Grunnlagstall!A24</f>
        <v>Forvaltningskapital</v>
      </c>
      <c r="B95" s="78" t="s">
        <v>142</v>
      </c>
      <c r="C95" s="49">
        <f>+C45</f>
        <v>21788823</v>
      </c>
      <c r="D95" s="49">
        <f>+D45</f>
        <v>22136236.583860002</v>
      </c>
      <c r="E95" s="49">
        <f>+E45</f>
        <v>22119882.199110031</v>
      </c>
      <c r="F95" s="49">
        <f>+F45</f>
        <v>21974314.547970034</v>
      </c>
      <c r="G95" s="49">
        <f>+G45</f>
        <v>22050085.62483</v>
      </c>
      <c r="H95" s="49">
        <f t="shared" ref="H95:L95" si="47">+H45</f>
        <v>21949215.152980071</v>
      </c>
      <c r="I95" s="49">
        <f t="shared" si="47"/>
        <v>21203324.595910076</v>
      </c>
      <c r="J95" s="49">
        <f t="shared" si="47"/>
        <v>20843345</v>
      </c>
      <c r="K95" s="49">
        <f t="shared" si="47"/>
        <v>20670818.58611</v>
      </c>
      <c r="L95" s="50">
        <f t="shared" si="47"/>
        <v>20034418</v>
      </c>
      <c r="N95" s="29"/>
    </row>
    <row r="96" spans="1:14" x14ac:dyDescent="0.2">
      <c r="A96" s="71" t="str">
        <f>+Grunnlagstall!A26</f>
        <v>Utlån formidlet via Eika Boligkreditt AS (EBK)</v>
      </c>
      <c r="B96" s="78" t="s">
        <v>165</v>
      </c>
      <c r="C96" s="49">
        <f>+C65</f>
        <v>3606378</v>
      </c>
      <c r="D96" s="49">
        <f>+D65</f>
        <v>2913291</v>
      </c>
      <c r="E96" s="49">
        <f>+E65</f>
        <v>2796350</v>
      </c>
      <c r="F96" s="49">
        <f>+F65</f>
        <v>2583525</v>
      </c>
      <c r="G96" s="49">
        <f>+G65</f>
        <v>2314942</v>
      </c>
      <c r="H96" s="49">
        <f t="shared" ref="H96:L96" si="48">+H65</f>
        <v>2275765</v>
      </c>
      <c r="I96" s="49">
        <f t="shared" si="48"/>
        <v>2427530</v>
      </c>
      <c r="J96" s="49">
        <f t="shared" si="48"/>
        <v>2399721</v>
      </c>
      <c r="K96" s="49">
        <f t="shared" si="48"/>
        <v>2433214.9</v>
      </c>
      <c r="L96" s="50">
        <f t="shared" si="48"/>
        <v>2513001</v>
      </c>
      <c r="N96" s="29"/>
    </row>
    <row r="97" spans="1:14" x14ac:dyDescent="0.2">
      <c r="A97" s="71" t="s">
        <v>64</v>
      </c>
      <c r="B97" s="79" t="s">
        <v>183</v>
      </c>
      <c r="C97" s="49">
        <f>+C95+C96</f>
        <v>25395201</v>
      </c>
      <c r="D97" s="49">
        <f>+D95+D96</f>
        <v>25049527.583860002</v>
      </c>
      <c r="E97" s="49">
        <f>+E95+E96</f>
        <v>24916232.199110031</v>
      </c>
      <c r="F97" s="49">
        <f>+F95+F96</f>
        <v>24557839.547970034</v>
      </c>
      <c r="G97" s="49">
        <f>+G95+G96</f>
        <v>24365027.62483</v>
      </c>
      <c r="H97" s="49">
        <f t="shared" ref="H97:L97" si="49">+H95+H96</f>
        <v>24224980.152980071</v>
      </c>
      <c r="I97" s="49">
        <f t="shared" si="49"/>
        <v>23630854.595910076</v>
      </c>
      <c r="J97" s="49">
        <f t="shared" si="49"/>
        <v>23243066</v>
      </c>
      <c r="K97" s="49">
        <f t="shared" si="49"/>
        <v>23104033.486109998</v>
      </c>
      <c r="L97" s="50">
        <f t="shared" si="49"/>
        <v>22547419</v>
      </c>
      <c r="N97" s="29"/>
    </row>
    <row r="98" spans="1:14" x14ac:dyDescent="0.2">
      <c r="A98" s="42"/>
      <c r="B98" s="64"/>
      <c r="C98" s="43"/>
      <c r="D98" s="43"/>
      <c r="E98" s="43"/>
      <c r="F98" s="43"/>
      <c r="G98" s="43"/>
      <c r="H98" s="43"/>
      <c r="I98" s="43"/>
      <c r="J98" s="43"/>
      <c r="K98" s="43"/>
      <c r="L98" s="44"/>
      <c r="N98" s="29"/>
    </row>
    <row r="99" spans="1:14" x14ac:dyDescent="0.2">
      <c r="A99" s="42" t="str">
        <f>+Grunnlagstall!A19</f>
        <v>Netto utlån til og fordringer på kunder</v>
      </c>
      <c r="B99" s="64" t="s">
        <v>150</v>
      </c>
      <c r="C99" s="46">
        <f>+Grunnlagstall!C19</f>
        <v>18764829.274999999</v>
      </c>
      <c r="D99" s="46">
        <f>+Grunnlagstall!D19</f>
        <v>19228385.669</v>
      </c>
      <c r="E99" s="46">
        <f>+Grunnlagstall!E19</f>
        <v>18802793.790859867</v>
      </c>
      <c r="F99" s="46">
        <f>+Grunnlagstall!F19</f>
        <v>18836623.624359865</v>
      </c>
      <c r="G99" s="46">
        <f>+Grunnlagstall!G19</f>
        <v>18858337.343439784</v>
      </c>
      <c r="H99" s="46">
        <f>+Grunnlagstall!H19</f>
        <v>18548959.305619802</v>
      </c>
      <c r="I99" s="46">
        <f>+Grunnlagstall!I19</f>
        <v>17967360.297719706</v>
      </c>
      <c r="J99" s="46">
        <f>+Grunnlagstall!J19</f>
        <v>17730021.602289729</v>
      </c>
      <c r="K99" s="46">
        <f>+Grunnlagstall!K19</f>
        <v>17778799.599719867</v>
      </c>
      <c r="L99" s="47">
        <f>+Grunnlagstall!L19</f>
        <v>17358838.674029812</v>
      </c>
      <c r="N99" s="29"/>
    </row>
    <row r="100" spans="1:14" x14ac:dyDescent="0.2">
      <c r="A100" s="42" t="str">
        <f>+Grunnlagstall!A26</f>
        <v>Utlån formidlet via Eika Boligkreditt AS (EBK)</v>
      </c>
      <c r="B100" s="64" t="s">
        <v>165</v>
      </c>
      <c r="C100" s="46">
        <f>+Grunnlagstall!C26</f>
        <v>3606378</v>
      </c>
      <c r="D100" s="46">
        <f>+Grunnlagstall!D26</f>
        <v>2913291</v>
      </c>
      <c r="E100" s="46">
        <f>+Grunnlagstall!E26</f>
        <v>2796350</v>
      </c>
      <c r="F100" s="46">
        <f>+Grunnlagstall!F26</f>
        <v>2583525</v>
      </c>
      <c r="G100" s="46">
        <f>+Grunnlagstall!G26</f>
        <v>2314942</v>
      </c>
      <c r="H100" s="46">
        <f>+Grunnlagstall!H26</f>
        <v>2275765</v>
      </c>
      <c r="I100" s="46">
        <f>+Grunnlagstall!I26</f>
        <v>2427530</v>
      </c>
      <c r="J100" s="46">
        <f>+Grunnlagstall!J26</f>
        <v>2399721</v>
      </c>
      <c r="K100" s="46">
        <f>+Grunnlagstall!K26</f>
        <v>2433214.9</v>
      </c>
      <c r="L100" s="47">
        <f>+Grunnlagstall!L26</f>
        <v>2513001</v>
      </c>
      <c r="N100" s="29"/>
    </row>
    <row r="101" spans="1:14" ht="13.5" thickBot="1" x14ac:dyDescent="0.25">
      <c r="A101" s="61" t="s">
        <v>65</v>
      </c>
      <c r="B101" s="70" t="s">
        <v>184</v>
      </c>
      <c r="C101" s="62">
        <f>+C99+C100</f>
        <v>22371207.274999999</v>
      </c>
      <c r="D101" s="62">
        <f>+D99+D100</f>
        <v>22141676.669</v>
      </c>
      <c r="E101" s="62">
        <f>+E99+E100</f>
        <v>21599143.790859867</v>
      </c>
      <c r="F101" s="62">
        <f>+F99+F100</f>
        <v>21420148.624359865</v>
      </c>
      <c r="G101" s="62">
        <f>+G99+G100</f>
        <v>21173279.343439784</v>
      </c>
      <c r="H101" s="62">
        <f t="shared" ref="H101:L101" si="50">+H99+H100</f>
        <v>20824724.305619802</v>
      </c>
      <c r="I101" s="62">
        <f t="shared" si="50"/>
        <v>20394890.297719706</v>
      </c>
      <c r="J101" s="62">
        <f t="shared" si="50"/>
        <v>20129742.602289729</v>
      </c>
      <c r="K101" s="62">
        <f t="shared" si="50"/>
        <v>20212014.499719866</v>
      </c>
      <c r="L101" s="63">
        <f t="shared" si="50"/>
        <v>19871839.674029812</v>
      </c>
      <c r="N101" s="29"/>
    </row>
    <row r="102" spans="1:14" x14ac:dyDescent="0.2">
      <c r="A102" s="29"/>
      <c r="B102" s="29"/>
      <c r="C102" s="29"/>
      <c r="D102" s="29"/>
      <c r="E102" s="29"/>
      <c r="F102" s="29"/>
      <c r="N102" s="29"/>
    </row>
    <row r="103" spans="1:14" x14ac:dyDescent="0.2">
      <c r="A103" s="29"/>
      <c r="B103" s="29"/>
      <c r="C103" s="29"/>
      <c r="D103" s="29"/>
      <c r="E103" s="29"/>
      <c r="F103" s="29"/>
      <c r="N103" s="29"/>
    </row>
    <row r="104" spans="1:14" x14ac:dyDescent="0.2">
      <c r="A104" s="29"/>
      <c r="B104" s="29"/>
      <c r="C104" s="29"/>
      <c r="D104" s="29"/>
      <c r="E104" s="29"/>
      <c r="F104" s="29"/>
      <c r="N104" s="29"/>
    </row>
    <row r="105" spans="1:14" x14ac:dyDescent="0.2">
      <c r="A105" s="29"/>
      <c r="B105" s="29"/>
      <c r="C105" s="29"/>
      <c r="D105" s="29"/>
      <c r="E105" s="29"/>
      <c r="F105" s="29"/>
      <c r="N105" s="29"/>
    </row>
  </sheetData>
  <phoneticPr fontId="10" type="noConversion"/>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377F3-6283-4A81-9155-588AC7575097}">
  <dimension ref="A1:L51"/>
  <sheetViews>
    <sheetView topLeftCell="A24" zoomScaleNormal="100" workbookViewId="0">
      <selection activeCell="C22" sqref="C22"/>
    </sheetView>
  </sheetViews>
  <sheetFormatPr baseColWidth="10" defaultRowHeight="12.75" x14ac:dyDescent="0.2"/>
  <cols>
    <col min="1" max="1" width="61.85546875" style="127" bestFit="1" customWidth="1"/>
    <col min="2" max="2" width="25.85546875" customWidth="1"/>
    <col min="3" max="6" width="12.140625" customWidth="1"/>
    <col min="7" max="12" width="11.140625" style="29" customWidth="1"/>
  </cols>
  <sheetData>
    <row r="1" spans="1:12" ht="19.5" x14ac:dyDescent="0.25">
      <c r="A1" s="34" t="s">
        <v>201</v>
      </c>
      <c r="B1" s="38"/>
      <c r="C1" s="38"/>
      <c r="D1" s="38"/>
      <c r="E1" s="38"/>
      <c r="F1" s="38"/>
      <c r="G1" s="35"/>
      <c r="H1" s="35"/>
      <c r="I1" s="35"/>
      <c r="J1" s="35"/>
      <c r="K1" s="35"/>
      <c r="L1" s="36"/>
    </row>
    <row r="2" spans="1:12" ht="13.5" thickBot="1" x14ac:dyDescent="0.25">
      <c r="A2" s="37"/>
      <c r="B2" s="115"/>
      <c r="C2" s="38"/>
      <c r="D2" s="38"/>
      <c r="E2" s="38"/>
      <c r="F2" s="38"/>
      <c r="G2" s="39"/>
      <c r="H2" s="39"/>
      <c r="I2" s="39"/>
      <c r="J2" s="39"/>
      <c r="K2" s="39"/>
      <c r="L2" s="40"/>
    </row>
    <row r="3" spans="1:12" x14ac:dyDescent="0.2">
      <c r="A3" s="41" t="s">
        <v>194</v>
      </c>
      <c r="B3" s="114" t="s">
        <v>122</v>
      </c>
      <c r="C3" s="134">
        <v>45199</v>
      </c>
      <c r="D3" s="134">
        <v>45107</v>
      </c>
      <c r="E3" s="130">
        <v>45016</v>
      </c>
      <c r="F3" s="130">
        <v>44926</v>
      </c>
      <c r="G3" s="130">
        <v>44834</v>
      </c>
      <c r="H3" s="130">
        <v>44742</v>
      </c>
      <c r="I3" s="130">
        <v>44651</v>
      </c>
      <c r="J3" s="130">
        <v>44561</v>
      </c>
      <c r="K3" s="130">
        <v>44469</v>
      </c>
      <c r="L3" s="131">
        <v>44377</v>
      </c>
    </row>
    <row r="4" spans="1:12" x14ac:dyDescent="0.2">
      <c r="A4" s="80"/>
      <c r="B4" s="85"/>
      <c r="C4" s="133"/>
      <c r="D4" s="133"/>
      <c r="E4" s="133"/>
      <c r="F4" s="133"/>
      <c r="G4" s="81"/>
      <c r="H4" s="81"/>
      <c r="I4" s="81"/>
      <c r="J4" s="81"/>
      <c r="K4" s="81"/>
      <c r="L4" s="82"/>
    </row>
    <row r="5" spans="1:12" x14ac:dyDescent="0.2">
      <c r="A5" s="42" t="s">
        <v>197</v>
      </c>
      <c r="B5" s="64" t="s">
        <v>117</v>
      </c>
      <c r="C5" s="43">
        <f>31+28+31+30+31+30+31+31+30</f>
        <v>273</v>
      </c>
      <c r="D5" s="43">
        <f>31+28+31+30+31+30</f>
        <v>181</v>
      </c>
      <c r="E5" s="43">
        <f>31+28+31</f>
        <v>90</v>
      </c>
      <c r="F5" s="43">
        <f>+G5+'Avsteming nøkkeltall kvartal'!F4</f>
        <v>365</v>
      </c>
      <c r="G5" s="43">
        <f>+H5+'Avsteming nøkkeltall kvartal'!G4</f>
        <v>273</v>
      </c>
      <c r="H5" s="43">
        <f>+I5+'Avsteming nøkkeltall kvartal'!H4</f>
        <v>181</v>
      </c>
      <c r="I5" s="43">
        <f>31+28+31</f>
        <v>90</v>
      </c>
      <c r="J5" s="43">
        <f>31+30+31+273</f>
        <v>365</v>
      </c>
      <c r="K5" s="43">
        <f>31+31+30+181</f>
        <v>273</v>
      </c>
      <c r="L5" s="44">
        <f>30+31+30+31+28+31</f>
        <v>181</v>
      </c>
    </row>
    <row r="6" spans="1:12" x14ac:dyDescent="0.2">
      <c r="A6" s="45" t="s">
        <v>185</v>
      </c>
      <c r="B6" s="65" t="s">
        <v>118</v>
      </c>
      <c r="C6" s="83">
        <f>+Grunnlagstall!C39</f>
        <v>22076451</v>
      </c>
      <c r="D6" s="83">
        <f>+Grunnlagstall!D39</f>
        <v>22121825</v>
      </c>
      <c r="E6" s="83">
        <f>+Grunnlagstall!E39</f>
        <v>22199993</v>
      </c>
      <c r="F6" s="83">
        <f>+Grunnlagstall!F39</f>
        <v>21595648</v>
      </c>
      <c r="G6" s="83">
        <f>+Grunnlagstall!G39</f>
        <v>21472522</v>
      </c>
      <c r="H6" s="83">
        <f>+Grunnlagstall!H39</f>
        <v>21312557</v>
      </c>
      <c r="I6" s="83">
        <f>+Grunnlagstall!I39</f>
        <v>21067720</v>
      </c>
      <c r="J6" s="83">
        <f>+Grunnlagstall!J39</f>
        <v>19908177</v>
      </c>
      <c r="K6" s="83">
        <f>+Grunnlagstall!K39</f>
        <v>19627945</v>
      </c>
      <c r="L6" s="84">
        <f>+Grunnlagstall!L39</f>
        <v>19269426</v>
      </c>
    </row>
    <row r="7" spans="1:12" x14ac:dyDescent="0.2">
      <c r="A7" s="45" t="s">
        <v>196</v>
      </c>
      <c r="B7" s="65" t="s">
        <v>119</v>
      </c>
      <c r="C7" s="46">
        <f>+Grunnlagstall!C27</f>
        <v>87</v>
      </c>
      <c r="D7" s="46">
        <f>+Grunnlagstall!D27</f>
        <v>89.51</v>
      </c>
      <c r="E7" s="46">
        <f>+Grunnlagstall!E27</f>
        <v>89.51</v>
      </c>
      <c r="F7" s="46">
        <f>+Grunnlagstall!F27</f>
        <v>90</v>
      </c>
      <c r="G7" s="46">
        <f>+Grunnlagstall!G27</f>
        <v>88</v>
      </c>
      <c r="H7" s="46">
        <f>+Grunnlagstall!H27</f>
        <v>88</v>
      </c>
      <c r="I7" s="46">
        <f>+Grunnlagstall!I27</f>
        <v>88</v>
      </c>
      <c r="J7" s="46">
        <f>+Grunnlagstall!J27</f>
        <v>89</v>
      </c>
      <c r="K7" s="46">
        <f>+Grunnlagstall!K27</f>
        <v>90</v>
      </c>
      <c r="L7" s="47">
        <f>+Grunnlagstall!L27</f>
        <v>88.7</v>
      </c>
    </row>
    <row r="8" spans="1:12" x14ac:dyDescent="0.2">
      <c r="A8" s="45"/>
      <c r="B8" s="65"/>
      <c r="C8" s="132"/>
      <c r="D8" s="132"/>
      <c r="E8" s="132"/>
      <c r="F8" s="132"/>
      <c r="G8" s="46"/>
      <c r="H8" s="46"/>
      <c r="I8" s="46"/>
      <c r="J8" s="46"/>
      <c r="K8" s="46"/>
      <c r="L8" s="47"/>
    </row>
    <row r="9" spans="1:12" x14ac:dyDescent="0.2">
      <c r="A9" s="48" t="s">
        <v>192</v>
      </c>
      <c r="B9" s="66" t="s">
        <v>120</v>
      </c>
      <c r="C9" s="49">
        <f>+Grunnlagstall!C44</f>
        <v>384705</v>
      </c>
      <c r="D9" s="49">
        <f>+Grunnlagstall!D44</f>
        <v>250532</v>
      </c>
      <c r="E9" s="49">
        <f>+Grunnlagstall!E44</f>
        <v>122912.47058000037</v>
      </c>
      <c r="F9" s="49">
        <f>+Grunnlagstall!F44</f>
        <v>417285.0513899934</v>
      </c>
      <c r="G9" s="49">
        <f>+Grunnlagstall!G44</f>
        <v>296851</v>
      </c>
      <c r="H9" s="49">
        <f>+Grunnlagstall!H44</f>
        <v>188386</v>
      </c>
      <c r="I9" s="49">
        <f>+Grunnlagstall!I44</f>
        <v>91273.909800000023</v>
      </c>
      <c r="J9" s="49">
        <f>+Grunnlagstall!J44</f>
        <v>346461</v>
      </c>
      <c r="K9" s="49">
        <f>+Grunnlagstall!K44</f>
        <v>253637</v>
      </c>
      <c r="L9" s="50">
        <f>+Grunnlagstall!L44</f>
        <v>162331</v>
      </c>
    </row>
    <row r="10" spans="1:12" x14ac:dyDescent="0.2">
      <c r="A10" s="48" t="s">
        <v>195</v>
      </c>
      <c r="B10" s="67" t="s">
        <v>121</v>
      </c>
      <c r="C10" s="51">
        <f>+C9*365/C$5/C$6</f>
        <v>2.3298544490877444E-2</v>
      </c>
      <c r="D10" s="51">
        <f>+D9*365/D$5/D$6</f>
        <v>2.2837919750671464E-2</v>
      </c>
      <c r="E10" s="51">
        <f>+E9*365/E$5/E$6</f>
        <v>2.2453986940796752E-2</v>
      </c>
      <c r="F10" s="51">
        <f>+F9*365/F$5/F$6</f>
        <v>1.9322645534414776E-2</v>
      </c>
      <c r="G10" s="51">
        <f>+G9*365/G$5/G$6</f>
        <v>1.8483562370256255E-2</v>
      </c>
      <c r="H10" s="51">
        <f t="shared" ref="H10:L10" si="0">+H9*365/H$5/H$6</f>
        <v>1.7824910445494772E-2</v>
      </c>
      <c r="I10" s="51">
        <f t="shared" si="0"/>
        <v>1.7570311925859408E-2</v>
      </c>
      <c r="J10" s="51">
        <f t="shared" si="0"/>
        <v>1.7402949551834909E-2</v>
      </c>
      <c r="K10" s="51">
        <f t="shared" si="0"/>
        <v>1.727698645613384E-2</v>
      </c>
      <c r="L10" s="52">
        <f t="shared" si="0"/>
        <v>1.6988184757593373E-2</v>
      </c>
    </row>
    <row r="11" spans="1:12" x14ac:dyDescent="0.2">
      <c r="A11" s="45"/>
      <c r="B11" s="65"/>
      <c r="C11" s="132"/>
      <c r="D11" s="132"/>
      <c r="E11" s="132"/>
      <c r="F11" s="132"/>
      <c r="G11" s="43"/>
      <c r="H11" s="43"/>
      <c r="I11" s="43"/>
      <c r="J11" s="43"/>
      <c r="K11" s="43"/>
      <c r="L11" s="44"/>
    </row>
    <row r="12" spans="1:12" x14ac:dyDescent="0.2">
      <c r="A12" s="45" t="s">
        <v>90</v>
      </c>
      <c r="B12" s="65" t="s">
        <v>123</v>
      </c>
      <c r="C12" s="46">
        <f>+Grunnlagstall!C45</f>
        <v>94676</v>
      </c>
      <c r="D12" s="46">
        <f>+Grunnlagstall!D45</f>
        <v>74005</v>
      </c>
      <c r="E12" s="46">
        <f>+Grunnlagstall!E45</f>
        <v>14331.357110000004</v>
      </c>
      <c r="F12" s="46">
        <f>+Grunnlagstall!F45</f>
        <v>104104.36939000005</v>
      </c>
      <c r="G12" s="46">
        <f>+Grunnlagstall!G45</f>
        <v>84485</v>
      </c>
      <c r="H12" s="46">
        <f>+Grunnlagstall!H45</f>
        <v>68573</v>
      </c>
      <c r="I12" s="46">
        <f>+Grunnlagstall!I45</f>
        <v>19655.227310000009</v>
      </c>
      <c r="J12" s="46">
        <f>+Grunnlagstall!J45</f>
        <v>115554</v>
      </c>
      <c r="K12" s="46">
        <f>+Grunnlagstall!K45</f>
        <v>85212</v>
      </c>
      <c r="L12" s="47">
        <f>+Grunnlagstall!L45</f>
        <v>64587</v>
      </c>
    </row>
    <row r="13" spans="1:12" x14ac:dyDescent="0.2">
      <c r="A13" s="45" t="s">
        <v>73</v>
      </c>
      <c r="B13" s="68" t="s">
        <v>125</v>
      </c>
      <c r="C13" s="53">
        <f>+C12*365/C$5/C$6</f>
        <v>5.7337778251343565E-3</v>
      </c>
      <c r="D13" s="53">
        <f>+D12*365/D$5/D$6</f>
        <v>6.7461252500616358E-3</v>
      </c>
      <c r="E13" s="53">
        <f>+E12*365/E$5/E$6</f>
        <v>2.6180915888627141E-3</v>
      </c>
      <c r="F13" s="53">
        <f>+F12*365/F$5/F$6</f>
        <v>4.8206179962740668E-3</v>
      </c>
      <c r="G13" s="53">
        <f>+G12*365/G$5/G$6</f>
        <v>5.2604969053535273E-3</v>
      </c>
      <c r="H13" s="53">
        <f t="shared" ref="H13:L13" si="1">+H12*365/H$5/H$6</f>
        <v>6.4883143332249375E-3</v>
      </c>
      <c r="I13" s="53">
        <f t="shared" si="1"/>
        <v>3.7836494083259994E-3</v>
      </c>
      <c r="J13" s="53">
        <f t="shared" si="1"/>
        <v>5.8043486352366671E-3</v>
      </c>
      <c r="K13" s="53">
        <f t="shared" si="1"/>
        <v>5.8043840997176153E-3</v>
      </c>
      <c r="L13" s="54">
        <f t="shared" si="1"/>
        <v>6.7591272704454683E-3</v>
      </c>
    </row>
    <row r="14" spans="1:12" x14ac:dyDescent="0.2">
      <c r="A14" s="45"/>
      <c r="B14" s="65"/>
      <c r="C14" s="43"/>
      <c r="D14" s="43"/>
      <c r="E14" s="43"/>
      <c r="F14" s="43"/>
      <c r="G14" s="43"/>
      <c r="H14" s="43"/>
      <c r="I14" s="43"/>
      <c r="J14" s="43"/>
      <c r="K14" s="43"/>
      <c r="L14" s="44"/>
    </row>
    <row r="15" spans="1:12" x14ac:dyDescent="0.2">
      <c r="A15" s="48" t="s">
        <v>91</v>
      </c>
      <c r="B15" s="66" t="s">
        <v>124</v>
      </c>
      <c r="C15" s="49">
        <f>+Grunnlagstall!C46</f>
        <v>155176</v>
      </c>
      <c r="D15" s="49">
        <f>+Grunnlagstall!D46</f>
        <v>105879</v>
      </c>
      <c r="E15" s="49">
        <f>+Grunnlagstall!E46</f>
        <v>53553.157949999993</v>
      </c>
      <c r="F15" s="49">
        <f>+Grunnlagstall!F46</f>
        <v>192748.56657000002</v>
      </c>
      <c r="G15" s="49">
        <f>+Grunnlagstall!G46</f>
        <v>141336</v>
      </c>
      <c r="H15" s="49">
        <f>+Grunnlagstall!H46</f>
        <v>96620</v>
      </c>
      <c r="I15" s="49">
        <f>+Grunnlagstall!I46</f>
        <v>50218.960200000001</v>
      </c>
      <c r="J15" s="49">
        <f>+Grunnlagstall!J46</f>
        <v>192907</v>
      </c>
      <c r="K15" s="49">
        <f>+Grunnlagstall!K46</f>
        <v>144601</v>
      </c>
      <c r="L15" s="50">
        <f>+Grunnlagstall!L46</f>
        <v>102837</v>
      </c>
    </row>
    <row r="16" spans="1:12" x14ac:dyDescent="0.2">
      <c r="A16" s="48" t="s">
        <v>74</v>
      </c>
      <c r="B16" s="67" t="s">
        <v>126</v>
      </c>
      <c r="C16" s="51">
        <f>+C15*365/C$5/C$6</f>
        <v>9.3977851598403932E-3</v>
      </c>
      <c r="D16" s="51">
        <f>+D15*365/D$5/D$6</f>
        <v>9.6516856340960206E-3</v>
      </c>
      <c r="E16" s="51">
        <f>+E15*365/E$5/E$6</f>
        <v>9.7832376452400976E-3</v>
      </c>
      <c r="F16" s="51">
        <f>+F15*365/F$5/F$6</f>
        <v>8.9253430399495338E-3</v>
      </c>
      <c r="G16" s="51">
        <f>+G15*365/G$5/G$6</f>
        <v>8.800350246967464E-3</v>
      </c>
      <c r="H16" s="51">
        <f t="shared" ref="H16:L16" si="2">+H15*365/H$5/H$6</f>
        <v>9.1420957355838814E-3</v>
      </c>
      <c r="I16" s="51">
        <f t="shared" si="2"/>
        <v>9.6671962145563617E-3</v>
      </c>
      <c r="J16" s="51">
        <f t="shared" si="2"/>
        <v>9.6898374974263082E-3</v>
      </c>
      <c r="K16" s="51">
        <f t="shared" si="2"/>
        <v>9.8497834249080748E-3</v>
      </c>
      <c r="L16" s="52">
        <f t="shared" si="2"/>
        <v>1.0762047642881705E-2</v>
      </c>
    </row>
    <row r="17" spans="1:12" x14ac:dyDescent="0.2">
      <c r="A17" s="45"/>
      <c r="B17" s="65"/>
      <c r="C17" s="43"/>
      <c r="D17" s="43"/>
      <c r="E17" s="43"/>
      <c r="F17" s="43"/>
      <c r="G17" s="43"/>
      <c r="H17" s="43"/>
      <c r="I17" s="43"/>
      <c r="J17" s="43"/>
      <c r="K17" s="43"/>
      <c r="L17" s="44"/>
    </row>
    <row r="18" spans="1:12" x14ac:dyDescent="0.2">
      <c r="A18" s="45" t="s">
        <v>91</v>
      </c>
      <c r="B18" s="65" t="s">
        <v>124</v>
      </c>
      <c r="C18" s="46">
        <f>+Grunnlagstall!C46</f>
        <v>155176</v>
      </c>
      <c r="D18" s="46">
        <f>+Grunnlagstall!D46</f>
        <v>105879</v>
      </c>
      <c r="E18" s="46">
        <f>+Grunnlagstall!E46</f>
        <v>53553.157949999993</v>
      </c>
      <c r="F18" s="46">
        <f>+Grunnlagstall!F46</f>
        <v>192748.56657000002</v>
      </c>
      <c r="G18" s="46">
        <f>+Grunnlagstall!G46</f>
        <v>141336</v>
      </c>
      <c r="H18" s="46">
        <f>+Grunnlagstall!H46</f>
        <v>96620</v>
      </c>
      <c r="I18" s="46">
        <f>+Grunnlagstall!I46</f>
        <v>50218.960200000001</v>
      </c>
      <c r="J18" s="46">
        <f>+Grunnlagstall!J46</f>
        <v>192907</v>
      </c>
      <c r="K18" s="46">
        <f>+Grunnlagstall!K46</f>
        <v>144601</v>
      </c>
      <c r="L18" s="47">
        <f>+Grunnlagstall!L46</f>
        <v>102837</v>
      </c>
    </row>
    <row r="19" spans="1:12" x14ac:dyDescent="0.2">
      <c r="A19" s="45" t="s">
        <v>192</v>
      </c>
      <c r="B19" s="65" t="s">
        <v>120</v>
      </c>
      <c r="C19" s="46">
        <f>+Grunnlagstall!C44</f>
        <v>384705</v>
      </c>
      <c r="D19" s="46">
        <f>+Grunnlagstall!D44</f>
        <v>250532</v>
      </c>
      <c r="E19" s="46">
        <f>+Grunnlagstall!E44</f>
        <v>122912.47058000037</v>
      </c>
      <c r="F19" s="46">
        <f>+Grunnlagstall!F44</f>
        <v>417285.0513899934</v>
      </c>
      <c r="G19" s="46">
        <f>+Grunnlagstall!G44</f>
        <v>296851</v>
      </c>
      <c r="H19" s="46">
        <f>+Grunnlagstall!H44</f>
        <v>188386</v>
      </c>
      <c r="I19" s="46">
        <f>+Grunnlagstall!I44</f>
        <v>91273.909800000023</v>
      </c>
      <c r="J19" s="46">
        <f>+Grunnlagstall!J44</f>
        <v>346461</v>
      </c>
      <c r="K19" s="46">
        <f>+Grunnlagstall!K44</f>
        <v>253637</v>
      </c>
      <c r="L19" s="47">
        <f>+Grunnlagstall!L44</f>
        <v>162331</v>
      </c>
    </row>
    <row r="20" spans="1:12" x14ac:dyDescent="0.2">
      <c r="A20" s="45" t="s">
        <v>90</v>
      </c>
      <c r="B20" s="65" t="str">
        <f>+B12</f>
        <v>A5</v>
      </c>
      <c r="C20" s="46">
        <f>+Grunnlagstall!C45</f>
        <v>94676</v>
      </c>
      <c r="D20" s="46">
        <f>+Grunnlagstall!D45</f>
        <v>74005</v>
      </c>
      <c r="E20" s="46">
        <f>+Grunnlagstall!E45</f>
        <v>14331.357110000004</v>
      </c>
      <c r="F20" s="46">
        <f>+Grunnlagstall!F45</f>
        <v>104104.36939000005</v>
      </c>
      <c r="G20" s="46">
        <f>+Grunnlagstall!G45</f>
        <v>84485</v>
      </c>
      <c r="H20" s="46">
        <f>+Grunnlagstall!H45</f>
        <v>68573</v>
      </c>
      <c r="I20" s="46">
        <f>+Grunnlagstall!I45</f>
        <v>19655.227310000009</v>
      </c>
      <c r="J20" s="46">
        <f>+Grunnlagstall!J45</f>
        <v>115554</v>
      </c>
      <c r="K20" s="46">
        <f>+Grunnlagstall!K45</f>
        <v>85212</v>
      </c>
      <c r="L20" s="47">
        <f>+Grunnlagstall!L45</f>
        <v>64587</v>
      </c>
    </row>
    <row r="21" spans="1:12" x14ac:dyDescent="0.2">
      <c r="A21" s="45" t="s">
        <v>113</v>
      </c>
      <c r="B21" s="68" t="s">
        <v>127</v>
      </c>
      <c r="C21" s="46">
        <f>SUM(C19:C20)</f>
        <v>479381</v>
      </c>
      <c r="D21" s="46">
        <f>SUM(D19:D20)</f>
        <v>324537</v>
      </c>
      <c r="E21" s="46">
        <f>SUM(E19:E20)</f>
        <v>137243.82769000038</v>
      </c>
      <c r="F21" s="46">
        <f>SUM(F19:F20)</f>
        <v>521389.42077999347</v>
      </c>
      <c r="G21" s="46">
        <f>SUM(G19:G20)</f>
        <v>381336</v>
      </c>
      <c r="H21" s="46">
        <f t="shared" ref="H21:L21" si="3">SUM(H19:H20)</f>
        <v>256959</v>
      </c>
      <c r="I21" s="46">
        <f t="shared" si="3"/>
        <v>110929.13711000004</v>
      </c>
      <c r="J21" s="46">
        <f t="shared" si="3"/>
        <v>462015</v>
      </c>
      <c r="K21" s="46">
        <f t="shared" si="3"/>
        <v>338849</v>
      </c>
      <c r="L21" s="47">
        <f t="shared" si="3"/>
        <v>226918</v>
      </c>
    </row>
    <row r="22" spans="1:12" x14ac:dyDescent="0.2">
      <c r="A22" s="45" t="s">
        <v>75</v>
      </c>
      <c r="B22" s="65" t="s">
        <v>128</v>
      </c>
      <c r="C22" s="53">
        <f>+C18/C21</f>
        <v>0.32370077245447776</v>
      </c>
      <c r="D22" s="53">
        <f>+D18/D21</f>
        <v>0.32624631397960785</v>
      </c>
      <c r="E22" s="53">
        <f>+E18/E21</f>
        <v>0.39020449117000172</v>
      </c>
      <c r="F22" s="53">
        <f>+F18/F21</f>
        <v>0.36968254223810304</v>
      </c>
      <c r="G22" s="53">
        <f>+G18/G21</f>
        <v>0.37063377179180568</v>
      </c>
      <c r="H22" s="53">
        <f t="shared" ref="H22:L22" si="4">+H18/H21</f>
        <v>0.37601329394961841</v>
      </c>
      <c r="I22" s="53">
        <f t="shared" si="4"/>
        <v>0.45271207825408083</v>
      </c>
      <c r="J22" s="53">
        <f t="shared" si="4"/>
        <v>0.41753406274688049</v>
      </c>
      <c r="K22" s="53">
        <f t="shared" si="4"/>
        <v>0.42674170500724512</v>
      </c>
      <c r="L22" s="54">
        <f t="shared" si="4"/>
        <v>0.4531901391692153</v>
      </c>
    </row>
    <row r="23" spans="1:12" x14ac:dyDescent="0.2">
      <c r="A23" s="45"/>
      <c r="B23" s="65"/>
      <c r="C23" s="43"/>
      <c r="D23" s="43"/>
      <c r="E23" s="43"/>
      <c r="F23" s="43"/>
      <c r="G23" s="43"/>
      <c r="H23" s="43"/>
      <c r="I23" s="43"/>
      <c r="J23" s="43"/>
      <c r="K23" s="43"/>
      <c r="L23" s="44"/>
    </row>
    <row r="24" spans="1:12" x14ac:dyDescent="0.2">
      <c r="A24" s="71" t="s">
        <v>198</v>
      </c>
      <c r="B24" s="66" t="s">
        <v>124</v>
      </c>
      <c r="C24" s="49">
        <f>+Grunnlagstall!C46</f>
        <v>155176</v>
      </c>
      <c r="D24" s="49">
        <f>+Grunnlagstall!D46</f>
        <v>105879</v>
      </c>
      <c r="E24" s="49">
        <f>+Grunnlagstall!E46</f>
        <v>53553.157949999993</v>
      </c>
      <c r="F24" s="49">
        <f>+Grunnlagstall!F46</f>
        <v>192748.56657000002</v>
      </c>
      <c r="G24" s="49">
        <f>+Grunnlagstall!G46</f>
        <v>141336</v>
      </c>
      <c r="H24" s="49">
        <f>+Grunnlagstall!H46</f>
        <v>96620</v>
      </c>
      <c r="I24" s="49">
        <f>+Grunnlagstall!I46</f>
        <v>50218.960200000001</v>
      </c>
      <c r="J24" s="49">
        <f>+Grunnlagstall!J46</f>
        <v>192907</v>
      </c>
      <c r="K24" s="49">
        <f>+Grunnlagstall!K46</f>
        <v>144601</v>
      </c>
      <c r="L24" s="50">
        <f>+Grunnlagstall!L46</f>
        <v>102837</v>
      </c>
    </row>
    <row r="25" spans="1:12" x14ac:dyDescent="0.2">
      <c r="A25" s="71" t="s">
        <v>192</v>
      </c>
      <c r="B25" s="66" t="s">
        <v>120</v>
      </c>
      <c r="C25" s="49">
        <f>+Grunnlagstall!C44</f>
        <v>384705</v>
      </c>
      <c r="D25" s="49">
        <f>+Grunnlagstall!D44</f>
        <v>250532</v>
      </c>
      <c r="E25" s="49">
        <f>+Grunnlagstall!E44</f>
        <v>122912.47058000037</v>
      </c>
      <c r="F25" s="49">
        <f>+Grunnlagstall!F44</f>
        <v>417285.0513899934</v>
      </c>
      <c r="G25" s="49">
        <f>+Grunnlagstall!G44</f>
        <v>296851</v>
      </c>
      <c r="H25" s="49">
        <f>+Grunnlagstall!H44</f>
        <v>188386</v>
      </c>
      <c r="I25" s="49">
        <f>+Grunnlagstall!I44</f>
        <v>91273.909800000023</v>
      </c>
      <c r="J25" s="49">
        <f>+Grunnlagstall!J44</f>
        <v>346461</v>
      </c>
      <c r="K25" s="49">
        <f>+Grunnlagstall!K44</f>
        <v>253637</v>
      </c>
      <c r="L25" s="50">
        <f>+Grunnlagstall!L44</f>
        <v>162331</v>
      </c>
    </row>
    <row r="26" spans="1:12" x14ac:dyDescent="0.2">
      <c r="A26" s="71" t="s">
        <v>199</v>
      </c>
      <c r="B26" s="66" t="s">
        <v>123</v>
      </c>
      <c r="C26" s="49">
        <f>+Grunnlagstall!C45</f>
        <v>94676</v>
      </c>
      <c r="D26" s="49">
        <f>+Grunnlagstall!D45</f>
        <v>74005</v>
      </c>
      <c r="E26" s="49">
        <f>+Grunnlagstall!E45</f>
        <v>14331.357110000004</v>
      </c>
      <c r="F26" s="49">
        <f>+Grunnlagstall!F45</f>
        <v>104104.36939000005</v>
      </c>
      <c r="G26" s="49">
        <f>+Grunnlagstall!G45</f>
        <v>84485</v>
      </c>
      <c r="H26" s="49">
        <f>+Grunnlagstall!H45</f>
        <v>68573</v>
      </c>
      <c r="I26" s="49">
        <f>+Grunnlagstall!I45</f>
        <v>19655.227310000009</v>
      </c>
      <c r="J26" s="49">
        <f>+Grunnlagstall!J45</f>
        <v>115554</v>
      </c>
      <c r="K26" s="49">
        <f>+Grunnlagstall!K45</f>
        <v>85212</v>
      </c>
      <c r="L26" s="50">
        <f>+Grunnlagstall!L45</f>
        <v>64587</v>
      </c>
    </row>
    <row r="27" spans="1:12" x14ac:dyDescent="0.2">
      <c r="A27" s="71" t="str">
        <f>+Grunnlagstall!A13</f>
        <v xml:space="preserve">Netto verdiendring og gevinst(+)/tap(-) på valuta og verdipapirer </v>
      </c>
      <c r="B27" s="67" t="s">
        <v>129</v>
      </c>
      <c r="C27" s="49">
        <f>+Grunnlagstall!C55</f>
        <v>3171</v>
      </c>
      <c r="D27" s="49">
        <f>+Grunnlagstall!D55</f>
        <v>1000</v>
      </c>
      <c r="E27" s="49">
        <f>+Grunnlagstall!E55</f>
        <v>-4618</v>
      </c>
      <c r="F27" s="49">
        <f>+Grunnlagstall!F55</f>
        <v>-17128</v>
      </c>
      <c r="G27" s="49">
        <f>+Grunnlagstall!G55</f>
        <v>-13405</v>
      </c>
      <c r="H27" s="49">
        <f>+Grunnlagstall!H55</f>
        <v>-9146</v>
      </c>
      <c r="I27" s="49">
        <f>+Grunnlagstall!I55</f>
        <v>-1312</v>
      </c>
      <c r="J27" s="49">
        <f>+Grunnlagstall!J55</f>
        <v>1142</v>
      </c>
      <c r="K27" s="49">
        <f>+Grunnlagstall!K55</f>
        <v>2002</v>
      </c>
      <c r="L27" s="50">
        <f>+Grunnlagstall!L55</f>
        <v>1548</v>
      </c>
    </row>
    <row r="28" spans="1:12" x14ac:dyDescent="0.2">
      <c r="A28" s="71" t="s">
        <v>114</v>
      </c>
      <c r="B28" s="67" t="s">
        <v>132</v>
      </c>
      <c r="C28" s="49">
        <f>+C25+C26-C27</f>
        <v>476210</v>
      </c>
      <c r="D28" s="49">
        <f>+D25+D26-D27</f>
        <v>323537</v>
      </c>
      <c r="E28" s="49">
        <f>+E25+E26-E27</f>
        <v>141861.82769000038</v>
      </c>
      <c r="F28" s="49">
        <f>+F25+F26-F27</f>
        <v>538517.42077999352</v>
      </c>
      <c r="G28" s="49">
        <f>+G25+G26-G27</f>
        <v>394741</v>
      </c>
      <c r="H28" s="49">
        <f t="shared" ref="H28:L28" si="5">+H25+H26-H27</f>
        <v>266105</v>
      </c>
      <c r="I28" s="49">
        <f t="shared" si="5"/>
        <v>112241.13711000004</v>
      </c>
      <c r="J28" s="49">
        <f t="shared" si="5"/>
        <v>460873</v>
      </c>
      <c r="K28" s="49">
        <f t="shared" si="5"/>
        <v>336847</v>
      </c>
      <c r="L28" s="50">
        <f t="shared" si="5"/>
        <v>225370</v>
      </c>
    </row>
    <row r="29" spans="1:12" x14ac:dyDescent="0.2">
      <c r="A29" s="71" t="s">
        <v>76</v>
      </c>
      <c r="B29" s="66" t="s">
        <v>130</v>
      </c>
      <c r="C29" s="51">
        <f>+C24/C28</f>
        <v>0.32585623989416435</v>
      </c>
      <c r="D29" s="51">
        <f>+D24/D28</f>
        <v>0.32725468802640811</v>
      </c>
      <c r="E29" s="51">
        <f>+E24/E28</f>
        <v>0.37750224159684126</v>
      </c>
      <c r="F29" s="51">
        <f>+F24/F28</f>
        <v>0.35792447770922853</v>
      </c>
      <c r="G29" s="51">
        <f>+G24/G28</f>
        <v>0.35804742856708577</v>
      </c>
      <c r="H29" s="51">
        <f t="shared" ref="H29:L29" si="6">+H24/H28</f>
        <v>0.36308975780237124</v>
      </c>
      <c r="I29" s="51">
        <f t="shared" si="6"/>
        <v>0.4474202729324076</v>
      </c>
      <c r="J29" s="51">
        <f t="shared" si="6"/>
        <v>0.4185686729315885</v>
      </c>
      <c r="K29" s="51">
        <f t="shared" si="6"/>
        <v>0.42927798080434143</v>
      </c>
      <c r="L29" s="52">
        <f t="shared" si="6"/>
        <v>0.45630296845187912</v>
      </c>
    </row>
    <row r="30" spans="1:12" x14ac:dyDescent="0.2">
      <c r="A30" s="45"/>
      <c r="B30" s="65"/>
      <c r="C30" s="43"/>
      <c r="D30" s="43"/>
      <c r="E30" s="43"/>
      <c r="F30" s="43"/>
      <c r="G30" s="43"/>
      <c r="H30" s="43"/>
      <c r="I30" s="43"/>
      <c r="J30" s="43"/>
      <c r="K30" s="43"/>
      <c r="L30" s="44"/>
    </row>
    <row r="31" spans="1:12" x14ac:dyDescent="0.2">
      <c r="A31" s="45" t="str">
        <f>+Grunnlagstall!A6</f>
        <v>Driftsresultat før tap og nedskrivninger</v>
      </c>
      <c r="B31" s="65" t="s">
        <v>133</v>
      </c>
      <c r="C31" s="46">
        <f>+Grunnlagstall!C47</f>
        <v>324205</v>
      </c>
      <c r="D31" s="46">
        <f>+Grunnlagstall!D47</f>
        <v>218658</v>
      </c>
      <c r="E31" s="46">
        <f>+Grunnlagstall!E47</f>
        <v>83690.66974000039</v>
      </c>
      <c r="F31" s="46">
        <f>+Grunnlagstall!F47</f>
        <v>328640.85420999344</v>
      </c>
      <c r="G31" s="46">
        <f>+Grunnlagstall!G47</f>
        <v>239999</v>
      </c>
      <c r="H31" s="46">
        <f>+Grunnlagstall!H47</f>
        <v>160339</v>
      </c>
      <c r="I31" s="46">
        <f>+Grunnlagstall!I47</f>
        <v>60710.176910000038</v>
      </c>
      <c r="J31" s="46">
        <f>+Grunnlagstall!J47</f>
        <v>269109</v>
      </c>
      <c r="K31" s="46">
        <f>+Grunnlagstall!K47</f>
        <v>194247</v>
      </c>
      <c r="L31" s="47">
        <f>+Grunnlagstall!L47</f>
        <v>124081</v>
      </c>
    </row>
    <row r="32" spans="1:12" x14ac:dyDescent="0.2">
      <c r="A32" s="45" t="s">
        <v>131</v>
      </c>
      <c r="B32" s="68" t="s">
        <v>134</v>
      </c>
      <c r="C32" s="53">
        <f>+C31*365/C$5/C$6</f>
        <v>1.963453715617141E-2</v>
      </c>
      <c r="D32" s="53">
        <f>+D31*365/D$5/D$6</f>
        <v>1.9932359366637082E-2</v>
      </c>
      <c r="E32" s="53">
        <f>+E31*365/E$5/E$6</f>
        <v>1.5288840884419369E-2</v>
      </c>
      <c r="F32" s="53">
        <f>+F31*365/F$5/F$6</f>
        <v>1.5217920490739311E-2</v>
      </c>
      <c r="G32" s="53">
        <f>+G31*365/G$5/G$6</f>
        <v>1.4943646763188037E-2</v>
      </c>
      <c r="H32" s="53">
        <f t="shared" ref="H32:L32" si="7">+H31*365/H$5/H$6</f>
        <v>1.517112904313583E-2</v>
      </c>
      <c r="I32" s="53">
        <f t="shared" si="7"/>
        <v>1.1686765119629048E-2</v>
      </c>
      <c r="J32" s="53">
        <f t="shared" si="7"/>
        <v>1.351751092026156E-2</v>
      </c>
      <c r="K32" s="53">
        <f t="shared" si="7"/>
        <v>1.323151901396338E-2</v>
      </c>
      <c r="L32" s="54">
        <f t="shared" si="7"/>
        <v>1.2985264385157139E-2</v>
      </c>
    </row>
    <row r="33" spans="1:12" x14ac:dyDescent="0.2">
      <c r="A33" s="45"/>
      <c r="B33" s="65"/>
      <c r="C33" s="43"/>
      <c r="D33" s="43"/>
      <c r="E33" s="43"/>
      <c r="F33" s="43"/>
      <c r="G33" s="43"/>
      <c r="H33" s="43"/>
      <c r="I33" s="43"/>
      <c r="J33" s="43"/>
      <c r="K33" s="43"/>
      <c r="L33" s="44"/>
    </row>
    <row r="34" spans="1:12" x14ac:dyDescent="0.2">
      <c r="A34" s="71" t="str">
        <f>+Grunnlagstall!A10</f>
        <v>Resultat av ordinær drift etter skatt</v>
      </c>
      <c r="B34" s="66" t="s">
        <v>135</v>
      </c>
      <c r="C34" s="49">
        <f>+Grunnlagstall!C51</f>
        <v>231773</v>
      </c>
      <c r="D34" s="49">
        <f>+Grunnlagstall!D51</f>
        <v>161238</v>
      </c>
      <c r="E34" s="49">
        <f>+Grunnlagstall!E51</f>
        <v>58571.757180000408</v>
      </c>
      <c r="F34" s="49">
        <f>+Grunnlagstall!F51</f>
        <v>244619</v>
      </c>
      <c r="G34" s="49">
        <f>+Grunnlagstall!G51</f>
        <v>183475</v>
      </c>
      <c r="H34" s="49">
        <f>+Grunnlagstall!H51</f>
        <v>125727</v>
      </c>
      <c r="I34" s="49">
        <f>+Grunnlagstall!I51</f>
        <v>42262.246000000057</v>
      </c>
      <c r="J34" s="49">
        <f>+Grunnlagstall!J51</f>
        <v>209500</v>
      </c>
      <c r="K34" s="49">
        <f>+Grunnlagstall!K51</f>
        <v>154821</v>
      </c>
      <c r="L34" s="50">
        <f>+Grunnlagstall!L51</f>
        <v>100545</v>
      </c>
    </row>
    <row r="35" spans="1:12" x14ac:dyDescent="0.2">
      <c r="A35" s="71" t="s">
        <v>136</v>
      </c>
      <c r="B35" s="66" t="s">
        <v>137</v>
      </c>
      <c r="C35" s="49">
        <f>+Grunnlagstall!C56</f>
        <v>6953</v>
      </c>
      <c r="D35" s="49">
        <f>+Grunnlagstall!D56</f>
        <v>4526</v>
      </c>
      <c r="E35" s="49">
        <f>+Grunnlagstall!E56</f>
        <v>2174</v>
      </c>
      <c r="F35" s="49">
        <f>+Grunnlagstall!F56</f>
        <v>6839</v>
      </c>
      <c r="G35" s="49">
        <f>+Grunnlagstall!G56</f>
        <v>4672</v>
      </c>
      <c r="H35" s="49">
        <f>+Grunnlagstall!H56</f>
        <v>2758</v>
      </c>
      <c r="I35" s="49">
        <f>+Grunnlagstall!I56</f>
        <v>1437</v>
      </c>
      <c r="J35" s="49">
        <f>+Grunnlagstall!J56</f>
        <v>5533</v>
      </c>
      <c r="K35" s="49">
        <f>+Grunnlagstall!K56</f>
        <v>4073</v>
      </c>
      <c r="L35" s="50">
        <f>+Grunnlagstall!L56</f>
        <v>2730</v>
      </c>
    </row>
    <row r="36" spans="1:12" x14ac:dyDescent="0.2">
      <c r="A36" s="71" t="s">
        <v>138</v>
      </c>
      <c r="B36" s="67" t="s">
        <v>140</v>
      </c>
      <c r="C36" s="49">
        <f>+C34-C35</f>
        <v>224820</v>
      </c>
      <c r="D36" s="49">
        <f>+D34-D35</f>
        <v>156712</v>
      </c>
      <c r="E36" s="49">
        <f>+E34-E35</f>
        <v>56397.757180000408</v>
      </c>
      <c r="F36" s="49">
        <f>+F34-F35</f>
        <v>237780</v>
      </c>
      <c r="G36" s="49">
        <f>+G34-G35</f>
        <v>178803</v>
      </c>
      <c r="H36" s="49">
        <f t="shared" ref="H36:L36" si="8">+H34-H35</f>
        <v>122969</v>
      </c>
      <c r="I36" s="49">
        <f t="shared" si="8"/>
        <v>40825.246000000057</v>
      </c>
      <c r="J36" s="49">
        <f>+J34-J35</f>
        <v>203967</v>
      </c>
      <c r="K36" s="49">
        <f t="shared" si="8"/>
        <v>150748</v>
      </c>
      <c r="L36" s="50">
        <f t="shared" si="8"/>
        <v>97815</v>
      </c>
    </row>
    <row r="37" spans="1:12" x14ac:dyDescent="0.2">
      <c r="A37" s="71" t="s">
        <v>105</v>
      </c>
      <c r="B37" s="66" t="s">
        <v>141</v>
      </c>
      <c r="C37" s="49">
        <f>+Grunnlagstall!C37</f>
        <v>2536807</v>
      </c>
      <c r="D37" s="49">
        <f>+Grunnlagstall!D37</f>
        <v>2516935</v>
      </c>
      <c r="E37" s="49">
        <f>+Grunnlagstall!E37</f>
        <v>2502892</v>
      </c>
      <c r="F37" s="49">
        <f>+Grunnlagstall!F37</f>
        <v>2319240</v>
      </c>
      <c r="G37" s="49">
        <f>+Grunnlagstall!G37</f>
        <v>2284650</v>
      </c>
      <c r="H37" s="49">
        <f>+Grunnlagstall!H37</f>
        <v>2258010</v>
      </c>
      <c r="I37" s="49">
        <f>+Grunnlagstall!I37</f>
        <v>2237474</v>
      </c>
      <c r="J37" s="49">
        <f>+Grunnlagstall!J37</f>
        <v>2093889</v>
      </c>
      <c r="K37" s="49">
        <f>+Grunnlagstall!K37</f>
        <v>2069737</v>
      </c>
      <c r="L37" s="50">
        <f>+Grunnlagstall!L37</f>
        <v>2050005</v>
      </c>
    </row>
    <row r="38" spans="1:12" x14ac:dyDescent="0.2">
      <c r="A38" s="71" t="s">
        <v>139</v>
      </c>
      <c r="B38" s="66" t="s">
        <v>142</v>
      </c>
      <c r="C38" s="49">
        <f>+Grunnlagstall!C32</f>
        <v>125000</v>
      </c>
      <c r="D38" s="49">
        <f>+Grunnlagstall!D32</f>
        <v>125000</v>
      </c>
      <c r="E38" s="49">
        <f>+Grunnlagstall!E32</f>
        <v>125000</v>
      </c>
      <c r="F38" s="49">
        <f>+Grunnlagstall!F32</f>
        <v>125000</v>
      </c>
      <c r="G38" s="49">
        <f>+Grunnlagstall!G32</f>
        <v>125000</v>
      </c>
      <c r="H38" s="49">
        <f>+Grunnlagstall!H32</f>
        <v>125000</v>
      </c>
      <c r="I38" s="49">
        <f>+Grunnlagstall!I32</f>
        <v>125000</v>
      </c>
      <c r="J38" s="49">
        <f>+Grunnlagstall!J32</f>
        <v>141400</v>
      </c>
      <c r="K38" s="49">
        <f>+Grunnlagstall!K32</f>
        <v>143000</v>
      </c>
      <c r="L38" s="49">
        <f>+Grunnlagstall!L32</f>
        <v>143000</v>
      </c>
    </row>
    <row r="39" spans="1:12" x14ac:dyDescent="0.2">
      <c r="A39" s="71" t="s">
        <v>143</v>
      </c>
      <c r="B39" s="67" t="s">
        <v>144</v>
      </c>
      <c r="C39" s="49">
        <f>+C37-C38</f>
        <v>2411807</v>
      </c>
      <c r="D39" s="49">
        <f>+D37-D38</f>
        <v>2391935</v>
      </c>
      <c r="E39" s="49">
        <f>+E37-E38</f>
        <v>2377892</v>
      </c>
      <c r="F39" s="49">
        <f>+F37-F38</f>
        <v>2194240</v>
      </c>
      <c r="G39" s="49">
        <f>+G37-G38</f>
        <v>2159650</v>
      </c>
      <c r="H39" s="49">
        <f t="shared" ref="H39:L39" si="9">+H37-H38</f>
        <v>2133010</v>
      </c>
      <c r="I39" s="49">
        <f t="shared" si="9"/>
        <v>2112474</v>
      </c>
      <c r="J39" s="49">
        <f t="shared" si="9"/>
        <v>1952489</v>
      </c>
      <c r="K39" s="49">
        <f t="shared" si="9"/>
        <v>1926737</v>
      </c>
      <c r="L39" s="50">
        <f t="shared" si="9"/>
        <v>1907005</v>
      </c>
    </row>
    <row r="40" spans="1:12" x14ac:dyDescent="0.2">
      <c r="A40" s="71" t="s">
        <v>77</v>
      </c>
      <c r="B40" s="67" t="s">
        <v>145</v>
      </c>
      <c r="C40" s="72">
        <f>+(C36*365/C5)/C39</f>
        <v>0.12463000417675066</v>
      </c>
      <c r="D40" s="72">
        <f>+(D36*365/D5)/D39</f>
        <v>0.13211957534970156</v>
      </c>
      <c r="E40" s="72">
        <f>+(E36*365/E5)/E39</f>
        <v>9.6187815700723114E-2</v>
      </c>
      <c r="F40" s="72">
        <f>+(F36*365/F5)/F39</f>
        <v>0.10836553886539303</v>
      </c>
      <c r="G40" s="72">
        <f>+(G36*365/G5)/G39</f>
        <v>0.11069337904010189</v>
      </c>
      <c r="H40" s="72">
        <f t="shared" ref="H40:L40" si="10">+(H36*365/H5)/H39</f>
        <v>0.11625644522106998</v>
      </c>
      <c r="I40" s="72">
        <f t="shared" si="10"/>
        <v>7.8376847820244164E-2</v>
      </c>
      <c r="J40" s="72">
        <f t="shared" si="10"/>
        <v>0.10446512118634214</v>
      </c>
      <c r="K40" s="72">
        <f t="shared" si="10"/>
        <v>0.10460666079985168</v>
      </c>
      <c r="L40" s="73">
        <f t="shared" si="10"/>
        <v>0.10343509487071227</v>
      </c>
    </row>
    <row r="41" spans="1:12" x14ac:dyDescent="0.2">
      <c r="A41" s="45"/>
      <c r="B41" s="65"/>
      <c r="C41" s="43"/>
      <c r="D41" s="43"/>
      <c r="E41" s="43"/>
      <c r="F41" s="43"/>
      <c r="G41" s="43"/>
      <c r="H41" s="43"/>
      <c r="I41" s="43"/>
      <c r="J41" s="43"/>
      <c r="K41" s="43"/>
      <c r="L41" s="44"/>
    </row>
    <row r="42" spans="1:12" x14ac:dyDescent="0.2">
      <c r="A42" s="42" t="s">
        <v>96</v>
      </c>
      <c r="B42" s="65" t="s">
        <v>135</v>
      </c>
      <c r="C42" s="46">
        <f>+Grunnlagstall!C51</f>
        <v>231773</v>
      </c>
      <c r="D42" s="46">
        <f>+Grunnlagstall!D51</f>
        <v>161238</v>
      </c>
      <c r="E42" s="46">
        <f>+Grunnlagstall!E51</f>
        <v>58571.757180000408</v>
      </c>
      <c r="F42" s="46">
        <f>+Grunnlagstall!F51</f>
        <v>244619</v>
      </c>
      <c r="G42" s="46">
        <f>+Grunnlagstall!G51</f>
        <v>183475</v>
      </c>
      <c r="H42" s="46">
        <f>+Grunnlagstall!H51</f>
        <v>125727</v>
      </c>
      <c r="I42" s="46">
        <f>+Grunnlagstall!I51</f>
        <v>42262.246000000057</v>
      </c>
      <c r="J42" s="46">
        <f>+Grunnlagstall!J51</f>
        <v>209500</v>
      </c>
      <c r="K42" s="46">
        <f>+Grunnlagstall!K51</f>
        <v>154821</v>
      </c>
      <c r="L42" s="47">
        <f>+Grunnlagstall!L51</f>
        <v>100545</v>
      </c>
    </row>
    <row r="43" spans="1:12" x14ac:dyDescent="0.2">
      <c r="A43" s="42" t="s">
        <v>105</v>
      </c>
      <c r="B43" s="65" t="s">
        <v>141</v>
      </c>
      <c r="C43" s="46">
        <f>+Grunnlagstall!C37</f>
        <v>2536807</v>
      </c>
      <c r="D43" s="46">
        <f>+Grunnlagstall!D37</f>
        <v>2516935</v>
      </c>
      <c r="E43" s="46">
        <f>+Grunnlagstall!E37</f>
        <v>2502892</v>
      </c>
      <c r="F43" s="46">
        <f>+Grunnlagstall!F37</f>
        <v>2319240</v>
      </c>
      <c r="G43" s="46">
        <f>+Grunnlagstall!G37</f>
        <v>2284650</v>
      </c>
      <c r="H43" s="46">
        <f>+Grunnlagstall!H37</f>
        <v>2258010</v>
      </c>
      <c r="I43" s="46">
        <f>+Grunnlagstall!I37</f>
        <v>2237474</v>
      </c>
      <c r="J43" s="46">
        <f>+Grunnlagstall!J37</f>
        <v>2093889</v>
      </c>
      <c r="K43" s="46">
        <f>+Grunnlagstall!K37</f>
        <v>2069737</v>
      </c>
      <c r="L43" s="47">
        <f>+Grunnlagstall!L37</f>
        <v>2050005</v>
      </c>
    </row>
    <row r="44" spans="1:12" x14ac:dyDescent="0.2">
      <c r="A44" s="42" t="s">
        <v>78</v>
      </c>
      <c r="B44" s="68" t="s">
        <v>146</v>
      </c>
      <c r="C44" s="53">
        <f t="shared" ref="C44" si="11">+(C42*365/C5)/C43</f>
        <v>0.1221534204275895</v>
      </c>
      <c r="D44" s="53">
        <f t="shared" ref="D44:E44" si="12">+(D42*365/D5)/D43</f>
        <v>0.12918428685630501</v>
      </c>
      <c r="E44" s="53">
        <f t="shared" si="12"/>
        <v>9.4906618116163896E-2</v>
      </c>
      <c r="F44" s="53">
        <f t="shared" ref="F44:L44" si="13">+(F42*365/F5)/F43</f>
        <v>0.10547377589210259</v>
      </c>
      <c r="G44" s="53">
        <f t="shared" si="13"/>
        <v>0.10737110845442537</v>
      </c>
      <c r="H44" s="53">
        <f t="shared" si="13"/>
        <v>0.11228376886204082</v>
      </c>
      <c r="I44" s="53">
        <f t="shared" si="13"/>
        <v>7.6602850605439796E-2</v>
      </c>
      <c r="J44" s="53">
        <f t="shared" si="13"/>
        <v>0.10005305916407221</v>
      </c>
      <c r="K44" s="53">
        <f t="shared" si="13"/>
        <v>0.10001034425635233</v>
      </c>
      <c r="L44" s="54">
        <f t="shared" si="13"/>
        <v>9.8905364480919397E-2</v>
      </c>
    </row>
    <row r="45" spans="1:12" x14ac:dyDescent="0.2">
      <c r="A45" s="42"/>
      <c r="B45" s="65"/>
      <c r="C45" s="43"/>
      <c r="D45" s="43"/>
      <c r="E45" s="43"/>
      <c r="F45" s="43"/>
      <c r="G45" s="43"/>
      <c r="H45" s="43"/>
      <c r="I45" s="43"/>
      <c r="J45" s="43"/>
      <c r="K45" s="43"/>
      <c r="L45" s="44"/>
    </row>
    <row r="46" spans="1:12" x14ac:dyDescent="0.2">
      <c r="A46" s="71" t="s">
        <v>96</v>
      </c>
      <c r="B46" s="66" t="s">
        <v>135</v>
      </c>
      <c r="C46" s="49">
        <f>+Grunnlagstall!C51</f>
        <v>231773</v>
      </c>
      <c r="D46" s="49">
        <f>+Grunnlagstall!D51</f>
        <v>161238</v>
      </c>
      <c r="E46" s="49">
        <f>+Grunnlagstall!E51</f>
        <v>58571.757180000408</v>
      </c>
      <c r="F46" s="49">
        <f>+Grunnlagstall!F51</f>
        <v>244619</v>
      </c>
      <c r="G46" s="49">
        <f>+Grunnlagstall!G51</f>
        <v>183475</v>
      </c>
      <c r="H46" s="49">
        <f>+Grunnlagstall!H51</f>
        <v>125727</v>
      </c>
      <c r="I46" s="49">
        <f>+Grunnlagstall!I51</f>
        <v>42262.246000000057</v>
      </c>
      <c r="J46" s="49">
        <f>+Grunnlagstall!J51</f>
        <v>209500</v>
      </c>
      <c r="K46" s="49">
        <f>+Grunnlagstall!K51</f>
        <v>154821</v>
      </c>
      <c r="L46" s="50">
        <f>+Grunnlagstall!L51</f>
        <v>100545</v>
      </c>
    </row>
    <row r="47" spans="1:12" x14ac:dyDescent="0.2">
      <c r="A47" s="71" t="s">
        <v>136</v>
      </c>
      <c r="B47" s="66" t="s">
        <v>137</v>
      </c>
      <c r="C47" s="49">
        <f>+Grunnlagstall!C56</f>
        <v>6953</v>
      </c>
      <c r="D47" s="49">
        <f>+Grunnlagstall!D56</f>
        <v>4526</v>
      </c>
      <c r="E47" s="49">
        <f>+Grunnlagstall!E56</f>
        <v>2174</v>
      </c>
      <c r="F47" s="49">
        <f>+Grunnlagstall!F56</f>
        <v>6839</v>
      </c>
      <c r="G47" s="49">
        <f>+Grunnlagstall!G56</f>
        <v>4672</v>
      </c>
      <c r="H47" s="49">
        <f>+Grunnlagstall!H56</f>
        <v>2758</v>
      </c>
      <c r="I47" s="49">
        <f>+Grunnlagstall!I56</f>
        <v>1437</v>
      </c>
      <c r="J47" s="49">
        <f>+Grunnlagstall!J56</f>
        <v>5533</v>
      </c>
      <c r="K47" s="49">
        <f>+Grunnlagstall!K56</f>
        <v>4073</v>
      </c>
      <c r="L47" s="50">
        <f>+Grunnlagstall!L56</f>
        <v>2730</v>
      </c>
    </row>
    <row r="48" spans="1:12" x14ac:dyDescent="0.2">
      <c r="A48" s="71" t="s">
        <v>138</v>
      </c>
      <c r="B48" s="66" t="s">
        <v>140</v>
      </c>
      <c r="C48" s="49">
        <f>+C46-C47</f>
        <v>224820</v>
      </c>
      <c r="D48" s="49">
        <f>+D46-D47</f>
        <v>156712</v>
      </c>
      <c r="E48" s="49">
        <f>+E46-E47</f>
        <v>56397.757180000408</v>
      </c>
      <c r="F48" s="49">
        <f>+F46-F47</f>
        <v>237780</v>
      </c>
      <c r="G48" s="49">
        <f>+G46-G47</f>
        <v>178803</v>
      </c>
      <c r="H48" s="49">
        <f t="shared" ref="H48:L48" si="14">+H46-H47</f>
        <v>122969</v>
      </c>
      <c r="I48" s="49">
        <f t="shared" si="14"/>
        <v>40825.246000000057</v>
      </c>
      <c r="J48" s="49">
        <f t="shared" si="14"/>
        <v>203967</v>
      </c>
      <c r="K48" s="49">
        <f t="shared" si="14"/>
        <v>150748</v>
      </c>
      <c r="L48" s="50">
        <f t="shared" si="14"/>
        <v>97815</v>
      </c>
    </row>
    <row r="49" spans="1:12" x14ac:dyDescent="0.2">
      <c r="A49" s="71" t="s">
        <v>63</v>
      </c>
      <c r="B49" s="66" t="s">
        <v>172</v>
      </c>
      <c r="C49" s="74">
        <f>+'Avsteming nøkkeltall kvartal'!C83</f>
        <v>48.48</v>
      </c>
      <c r="D49" s="74">
        <f>+'Avsteming nøkkeltall kvartal'!D83</f>
        <v>48.48</v>
      </c>
      <c r="E49" s="74">
        <f>+'Avsteming nøkkeltall kvartal'!E83</f>
        <v>48.48</v>
      </c>
      <c r="F49" s="74">
        <f>+'Avsteming nøkkeltall kvartal'!F83</f>
        <v>49.97</v>
      </c>
      <c r="G49" s="74">
        <f>+'Avsteming nøkkeltall kvartal'!G83</f>
        <v>49.97</v>
      </c>
      <c r="H49" s="74">
        <f>+'Avsteming nøkkeltall kvartal'!H83</f>
        <v>49.97</v>
      </c>
      <c r="I49" s="74">
        <f>+'Avsteming nøkkeltall kvartal'!I83</f>
        <v>49.97</v>
      </c>
      <c r="J49" s="74">
        <f>+'Avsteming nøkkeltall kvartal'!J83</f>
        <v>51.39</v>
      </c>
      <c r="K49" s="74">
        <f>+'Avsteming nøkkeltall kvartal'!K83</f>
        <v>51.39</v>
      </c>
      <c r="L49" s="75">
        <f>+'Avsteming nøkkeltall kvartal'!L83</f>
        <v>51.39</v>
      </c>
    </row>
    <row r="50" spans="1:12" x14ac:dyDescent="0.2">
      <c r="A50" s="71" t="s">
        <v>173</v>
      </c>
      <c r="B50" s="66" t="s">
        <v>174</v>
      </c>
      <c r="C50" s="39">
        <f>+'Avsteming nøkkeltall kvartal'!C84</f>
        <v>6124.5339999999997</v>
      </c>
      <c r="D50" s="39">
        <f>+'Avsteming nøkkeltall kvartal'!D84</f>
        <v>6124.5339999999997</v>
      </c>
      <c r="E50" s="39">
        <f>+'Avsteming nøkkeltall kvartal'!E84</f>
        <v>6124.5339999999997</v>
      </c>
      <c r="F50" s="39">
        <f>+'Avsteming nøkkeltall kvartal'!F84</f>
        <v>6124.5339999999997</v>
      </c>
      <c r="G50" s="39">
        <f>+'Avsteming nøkkeltall kvartal'!G84</f>
        <v>6124.5339999999997</v>
      </c>
      <c r="H50" s="39">
        <f>+'Avsteming nøkkeltall kvartal'!H84</f>
        <v>6124.5339999999997</v>
      </c>
      <c r="I50" s="39">
        <f>+'Avsteming nøkkeltall kvartal'!I84</f>
        <v>6124.5339999999997</v>
      </c>
      <c r="J50" s="39">
        <f>+'Avsteming nøkkeltall kvartal'!J84</f>
        <v>6124.5339999999997</v>
      </c>
      <c r="K50" s="39">
        <f>+'Avsteming nøkkeltall kvartal'!K84</f>
        <v>6124.5339999999997</v>
      </c>
      <c r="L50" s="40">
        <f>+'Avsteming nøkkeltall kvartal'!L84</f>
        <v>6124.5339999999997</v>
      </c>
    </row>
    <row r="51" spans="1:12" ht="13.5" thickBot="1" x14ac:dyDescent="0.25">
      <c r="A51" s="128" t="s">
        <v>33</v>
      </c>
      <c r="B51" s="66" t="s">
        <v>176</v>
      </c>
      <c r="C51" s="86">
        <f>+(C48*C49/100)/C50</f>
        <v>17.796086363468632</v>
      </c>
      <c r="D51" s="86">
        <f>+(D48*D49/100)/D50</f>
        <v>12.404858492090991</v>
      </c>
      <c r="E51" s="86">
        <f>+(E48*E49/100)/E50</f>
        <v>4.4642796792154629</v>
      </c>
      <c r="F51" s="86">
        <f>+(F48*F49/100)/F50</f>
        <v>19.400441894844572</v>
      </c>
      <c r="G51" s="86">
        <f>+(G48*G49/100)/G50</f>
        <v>14.588515485423056</v>
      </c>
      <c r="H51" s="86">
        <f t="shared" ref="H51:L51" si="15">+(H48*H49/100)/H50</f>
        <v>10.033026071861141</v>
      </c>
      <c r="I51" s="86">
        <f t="shared" si="15"/>
        <v>3.3309269613328998</v>
      </c>
      <c r="J51" s="86">
        <f t="shared" si="15"/>
        <v>17.114549662064086</v>
      </c>
      <c r="K51" s="86">
        <f t="shared" si="15"/>
        <v>12.649027207621019</v>
      </c>
      <c r="L51" s="87">
        <f t="shared" si="15"/>
        <v>8.2075025626439508</v>
      </c>
    </row>
  </sheetData>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21A6-10CF-4645-8500-BC0C29F838BE}">
  <dimension ref="A2:Z64"/>
  <sheetViews>
    <sheetView showGridLines="0" workbookViewId="0">
      <selection activeCell="C36" sqref="C36"/>
    </sheetView>
  </sheetViews>
  <sheetFormatPr baseColWidth="10" defaultRowHeight="12.75" x14ac:dyDescent="0.2"/>
  <cols>
    <col min="1" max="1" width="56.42578125" customWidth="1"/>
    <col min="2" max="2" width="14" style="29" customWidth="1"/>
    <col min="3" max="3" width="14" style="163" customWidth="1"/>
    <col min="4" max="5" width="14" style="29" customWidth="1"/>
    <col min="6" max="8" width="14" style="29" bestFit="1" customWidth="1"/>
    <col min="9" max="13" width="13.5703125" style="29" bestFit="1" customWidth="1"/>
    <col min="14" max="18" width="11.5703125" style="29" bestFit="1" customWidth="1"/>
    <col min="19" max="19" width="11.42578125" style="29"/>
  </cols>
  <sheetData>
    <row r="2" spans="1:13" x14ac:dyDescent="0.2">
      <c r="A2" s="91" t="s">
        <v>82</v>
      </c>
      <c r="B2" s="101" t="s">
        <v>205</v>
      </c>
      <c r="C2" s="92" t="s">
        <v>234</v>
      </c>
      <c r="D2" s="92" t="s">
        <v>233</v>
      </c>
      <c r="E2" s="92" t="s">
        <v>232</v>
      </c>
      <c r="F2" s="92" t="s">
        <v>209</v>
      </c>
      <c r="G2" s="92" t="s">
        <v>83</v>
      </c>
      <c r="H2" s="92" t="s">
        <v>84</v>
      </c>
      <c r="I2" s="92" t="s">
        <v>85</v>
      </c>
      <c r="J2" s="92" t="s">
        <v>86</v>
      </c>
      <c r="K2" s="92" t="s">
        <v>87</v>
      </c>
      <c r="L2" s="92" t="s">
        <v>88</v>
      </c>
      <c r="M2" s="93" t="s">
        <v>186</v>
      </c>
    </row>
    <row r="3" spans="1:13" x14ac:dyDescent="0.2">
      <c r="A3" s="11" t="s">
        <v>89</v>
      </c>
      <c r="B3" s="102" t="s">
        <v>120</v>
      </c>
      <c r="C3" s="155">
        <v>134172.51399999997</v>
      </c>
      <c r="D3" s="155">
        <v>127620</v>
      </c>
      <c r="E3" s="155">
        <v>122912.47058000037</v>
      </c>
      <c r="F3" s="12">
        <v>120434.41103999513</v>
      </c>
      <c r="G3" s="12">
        <v>108464.64311999807</v>
      </c>
      <c r="H3" s="12">
        <v>97112.087430000218</v>
      </c>
      <c r="I3" s="12">
        <v>91273.909800000023</v>
      </c>
      <c r="J3" s="13">
        <v>92824.220439999801</v>
      </c>
      <c r="K3" s="13">
        <v>91305.793680001574</v>
      </c>
      <c r="L3" s="12">
        <v>83882.61893999936</v>
      </c>
      <c r="M3" s="23">
        <v>78448.689420000243</v>
      </c>
    </row>
    <row r="4" spans="1:13" x14ac:dyDescent="0.2">
      <c r="A4" s="11" t="s">
        <v>90</v>
      </c>
      <c r="B4" s="102" t="s">
        <v>123</v>
      </c>
      <c r="C4" s="155">
        <v>20671.456999999995</v>
      </c>
      <c r="D4" s="155">
        <v>59673</v>
      </c>
      <c r="E4" s="155">
        <v>14331.357110000004</v>
      </c>
      <c r="F4" s="12">
        <v>19619.628360000021</v>
      </c>
      <c r="G4" s="12">
        <v>15911.379879999997</v>
      </c>
      <c r="H4" s="12">
        <v>48918.133840000017</v>
      </c>
      <c r="I4" s="12">
        <v>19655.227310000009</v>
      </c>
      <c r="J4" s="13">
        <v>30342.353779999998</v>
      </c>
      <c r="K4" s="13">
        <v>20624.387350000019</v>
      </c>
      <c r="L4" s="12">
        <v>42648.009240000007</v>
      </c>
      <c r="M4" s="23">
        <v>21939.412199999995</v>
      </c>
    </row>
    <row r="5" spans="1:13" x14ac:dyDescent="0.2">
      <c r="A5" s="11" t="s">
        <v>91</v>
      </c>
      <c r="B5" s="102" t="s">
        <v>124</v>
      </c>
      <c r="C5" s="155">
        <v>49297.058000000005</v>
      </c>
      <c r="D5" s="155">
        <v>52326</v>
      </c>
      <c r="E5" s="155">
        <v>53553.157949999993</v>
      </c>
      <c r="F5" s="12">
        <v>51412.216880000051</v>
      </c>
      <c r="G5" s="12">
        <v>44716.389009999992</v>
      </c>
      <c r="H5" s="12">
        <v>46401.000479999988</v>
      </c>
      <c r="I5" s="12">
        <v>50218.960200000001</v>
      </c>
      <c r="J5" s="13">
        <v>48305.224680000043</v>
      </c>
      <c r="K5" s="13">
        <v>41763.852719999981</v>
      </c>
      <c r="L5" s="12">
        <v>64942.500680000005</v>
      </c>
      <c r="M5" s="23">
        <v>37894.891669999997</v>
      </c>
    </row>
    <row r="6" spans="1:13" x14ac:dyDescent="0.2">
      <c r="A6" s="14" t="s">
        <v>92</v>
      </c>
      <c r="B6" s="103" t="s">
        <v>133</v>
      </c>
      <c r="C6" s="15">
        <v>105546.91299999996</v>
      </c>
      <c r="D6" s="15">
        <v>134967</v>
      </c>
      <c r="E6" s="15">
        <v>83690.66974000039</v>
      </c>
      <c r="F6" s="15">
        <v>88641.822519995098</v>
      </c>
      <c r="G6" s="15">
        <v>79659.633989998081</v>
      </c>
      <c r="H6" s="15">
        <v>99629.220790000254</v>
      </c>
      <c r="I6" s="15">
        <v>60710.176910000038</v>
      </c>
      <c r="J6" s="16">
        <v>74861.349539999763</v>
      </c>
      <c r="K6" s="16">
        <v>70166.328310001612</v>
      </c>
      <c r="L6" s="15">
        <v>61588.127499999355</v>
      </c>
      <c r="M6" s="24">
        <v>62493.209950000237</v>
      </c>
    </row>
    <row r="7" spans="1:13" x14ac:dyDescent="0.2">
      <c r="A7" s="11" t="s">
        <v>93</v>
      </c>
      <c r="B7" s="102" t="s">
        <v>169</v>
      </c>
      <c r="C7" s="155">
        <v>12689.493999999999</v>
      </c>
      <c r="D7" s="155">
        <v>9202</v>
      </c>
      <c r="E7" s="155">
        <v>6582.912559999977</v>
      </c>
      <c r="F7" s="12">
        <v>7192.5865100000083</v>
      </c>
      <c r="G7" s="12">
        <v>3773.4349199999924</v>
      </c>
      <c r="H7" s="12">
        <v>1906.0518000000197</v>
      </c>
      <c r="I7" s="12">
        <v>5164.93090999998</v>
      </c>
      <c r="J7" s="13">
        <v>5342.531860000181</v>
      </c>
      <c r="K7" s="13">
        <v>-1139.7558300000921</v>
      </c>
      <c r="L7" s="12">
        <v>-1619.1731199999551</v>
      </c>
      <c r="M7" s="23">
        <v>2505.7314699999988</v>
      </c>
    </row>
    <row r="8" spans="1:13" x14ac:dyDescent="0.2">
      <c r="A8" s="14" t="s">
        <v>94</v>
      </c>
      <c r="B8" s="103"/>
      <c r="C8" s="15">
        <v>92857.418999999965</v>
      </c>
      <c r="D8" s="15">
        <v>125766</v>
      </c>
      <c r="E8" s="15">
        <v>77107.757180000408</v>
      </c>
      <c r="F8" s="15">
        <v>81449.236009995089</v>
      </c>
      <c r="G8" s="15">
        <v>75886.199069998082</v>
      </c>
      <c r="H8" s="15">
        <v>97723.168990000238</v>
      </c>
      <c r="I8" s="15">
        <v>55545.246000000057</v>
      </c>
      <c r="J8" s="16">
        <v>69518.817679999585</v>
      </c>
      <c r="K8" s="16">
        <v>71306.084140001709</v>
      </c>
      <c r="L8" s="15">
        <v>63207.300619999311</v>
      </c>
      <c r="M8" s="24">
        <v>59987.478480000238</v>
      </c>
    </row>
    <row r="9" spans="1:13" x14ac:dyDescent="0.2">
      <c r="A9" s="11" t="s">
        <v>95</v>
      </c>
      <c r="B9" s="102"/>
      <c r="C9" s="155">
        <v>22322</v>
      </c>
      <c r="D9" s="155">
        <v>23100</v>
      </c>
      <c r="E9" s="155">
        <v>18536</v>
      </c>
      <c r="F9" s="12">
        <v>20305.114000000001</v>
      </c>
      <c r="G9" s="12">
        <v>18110</v>
      </c>
      <c r="H9" s="12">
        <v>14287</v>
      </c>
      <c r="I9" s="12">
        <v>13283</v>
      </c>
      <c r="J9" s="13">
        <v>14839.807999999997</v>
      </c>
      <c r="K9" s="13">
        <v>17030</v>
      </c>
      <c r="L9" s="12">
        <v>8300</v>
      </c>
      <c r="M9" s="23">
        <v>14350</v>
      </c>
    </row>
    <row r="10" spans="1:13" x14ac:dyDescent="0.2">
      <c r="A10" s="97" t="s">
        <v>96</v>
      </c>
      <c r="B10" s="104" t="s">
        <v>135</v>
      </c>
      <c r="C10" s="98">
        <v>70535.418999999965</v>
      </c>
      <c r="D10" s="98">
        <v>102666</v>
      </c>
      <c r="E10" s="98">
        <v>58571.757180000408</v>
      </c>
      <c r="F10" s="98">
        <v>61144.122009995088</v>
      </c>
      <c r="G10" s="98">
        <v>57776.199069998082</v>
      </c>
      <c r="H10" s="98">
        <v>83436.168990000238</v>
      </c>
      <c r="I10" s="98">
        <v>42262.246000000057</v>
      </c>
      <c r="J10" s="99">
        <v>54679.009679999588</v>
      </c>
      <c r="K10" s="99">
        <v>54276.084140001709</v>
      </c>
      <c r="L10" s="98">
        <v>54907.300619999311</v>
      </c>
      <c r="M10" s="100">
        <v>45637.478480000238</v>
      </c>
    </row>
    <row r="11" spans="1:13" x14ac:dyDescent="0.2">
      <c r="A11" s="17"/>
      <c r="B11" s="105"/>
      <c r="C11" s="162"/>
      <c r="D11" s="152"/>
      <c r="E11" s="152"/>
      <c r="F11" s="18"/>
      <c r="G11" s="18"/>
      <c r="H11" s="18"/>
      <c r="I11" s="18"/>
      <c r="J11" s="19"/>
      <c r="K11" s="19"/>
      <c r="L11" s="18"/>
      <c r="M11" s="25"/>
    </row>
    <row r="12" spans="1:13" x14ac:dyDescent="0.2">
      <c r="A12" s="17" t="s">
        <v>202</v>
      </c>
      <c r="B12" s="105"/>
      <c r="C12" s="162"/>
      <c r="D12" s="152"/>
      <c r="E12" s="152"/>
      <c r="F12" s="18"/>
      <c r="G12" s="18"/>
      <c r="H12" s="18"/>
      <c r="I12" s="18"/>
      <c r="J12" s="19"/>
      <c r="K12" s="19"/>
      <c r="L12" s="18"/>
      <c r="M12" s="25"/>
    </row>
    <row r="13" spans="1:13" x14ac:dyDescent="0.2">
      <c r="A13" s="11" t="s">
        <v>115</v>
      </c>
      <c r="B13" s="102"/>
      <c r="C13" s="155"/>
      <c r="D13" s="151"/>
      <c r="E13" s="151"/>
      <c r="F13" s="12"/>
      <c r="G13" s="12"/>
      <c r="H13" s="12"/>
      <c r="I13" s="12"/>
      <c r="J13" s="12"/>
      <c r="K13" s="13"/>
      <c r="L13" s="12"/>
    </row>
    <row r="14" spans="1:13" x14ac:dyDescent="0.2">
      <c r="A14" s="11" t="s">
        <v>116</v>
      </c>
      <c r="B14" s="102" t="s">
        <v>129</v>
      </c>
      <c r="C14" s="155">
        <v>2171</v>
      </c>
      <c r="D14" s="155">
        <v>5618</v>
      </c>
      <c r="E14" s="155">
        <v>-4618</v>
      </c>
      <c r="F14" s="12">
        <v>-3724</v>
      </c>
      <c r="G14" s="12">
        <v>-4259</v>
      </c>
      <c r="H14" s="12">
        <v>-7834</v>
      </c>
      <c r="I14" s="12">
        <v>-1312</v>
      </c>
      <c r="J14" s="12">
        <v>-860</v>
      </c>
      <c r="K14" s="13">
        <v>454</v>
      </c>
      <c r="L14" s="12">
        <v>-1172</v>
      </c>
      <c r="M14" s="12">
        <v>2720</v>
      </c>
    </row>
    <row r="15" spans="1:13" x14ac:dyDescent="0.2">
      <c r="A15" s="11" t="s">
        <v>136</v>
      </c>
      <c r="B15" s="102" t="s">
        <v>137</v>
      </c>
      <c r="C15" s="155">
        <f>6953-4526</f>
        <v>2427</v>
      </c>
      <c r="D15" s="155">
        <v>2352</v>
      </c>
      <c r="E15" s="155">
        <v>2174</v>
      </c>
      <c r="F15" s="12">
        <f>6839-4672</f>
        <v>2167</v>
      </c>
      <c r="G15" s="12">
        <v>1914</v>
      </c>
      <c r="H15" s="12">
        <v>1321</v>
      </c>
      <c r="I15" s="12">
        <v>1437</v>
      </c>
      <c r="J15" s="12">
        <v>1460</v>
      </c>
      <c r="K15" s="13">
        <v>1343</v>
      </c>
      <c r="L15" s="12">
        <v>1409</v>
      </c>
      <c r="M15" s="30">
        <v>1321</v>
      </c>
    </row>
    <row r="16" spans="1:13" x14ac:dyDescent="0.2">
      <c r="A16" s="11"/>
      <c r="B16" s="106"/>
      <c r="C16" s="153"/>
      <c r="D16" s="153"/>
      <c r="E16" s="153"/>
      <c r="F16" s="12"/>
      <c r="G16" s="12"/>
      <c r="H16" s="12"/>
      <c r="I16" s="12"/>
      <c r="J16" s="12"/>
      <c r="K16" s="13"/>
      <c r="L16" s="12"/>
      <c r="M16" s="30"/>
    </row>
    <row r="17" spans="1:26" x14ac:dyDescent="0.2">
      <c r="A17" s="11"/>
      <c r="B17" s="107"/>
      <c r="C17" s="81"/>
      <c r="D17" s="154"/>
      <c r="E17" s="154"/>
    </row>
    <row r="18" spans="1:26" x14ac:dyDescent="0.2">
      <c r="A18" s="91" t="s">
        <v>97</v>
      </c>
      <c r="B18" s="108"/>
      <c r="C18" s="93">
        <v>45199</v>
      </c>
      <c r="D18" s="95">
        <v>45107</v>
      </c>
      <c r="E18" s="95">
        <v>45016</v>
      </c>
      <c r="F18" s="95">
        <v>44926</v>
      </c>
      <c r="G18" s="95">
        <v>44834</v>
      </c>
      <c r="H18" s="95">
        <v>44742</v>
      </c>
      <c r="I18" s="95">
        <v>44651</v>
      </c>
      <c r="J18" s="95">
        <v>44561</v>
      </c>
      <c r="K18" s="95">
        <v>44469</v>
      </c>
      <c r="L18" s="95">
        <v>44377</v>
      </c>
      <c r="M18" s="95">
        <v>44286</v>
      </c>
      <c r="N18" s="95">
        <v>44196</v>
      </c>
      <c r="O18" s="95">
        <v>44104</v>
      </c>
      <c r="P18" s="95">
        <v>44012</v>
      </c>
      <c r="Q18" s="95">
        <v>43921</v>
      </c>
      <c r="R18" s="95">
        <v>43830</v>
      </c>
    </row>
    <row r="19" spans="1:26" x14ac:dyDescent="0.2">
      <c r="A19" s="11" t="s">
        <v>98</v>
      </c>
      <c r="B19" s="109" t="s">
        <v>150</v>
      </c>
      <c r="C19" s="156">
        <v>18764829.274999999</v>
      </c>
      <c r="D19" s="156">
        <v>19228385.669</v>
      </c>
      <c r="E19" s="156">
        <v>18802793.790859867</v>
      </c>
      <c r="F19" s="13">
        <v>18836623.624359865</v>
      </c>
      <c r="G19" s="13">
        <v>18858337.343439784</v>
      </c>
      <c r="H19" s="13">
        <v>18548959.305619802</v>
      </c>
      <c r="I19" s="13">
        <v>17967360.297719706</v>
      </c>
      <c r="J19" s="13">
        <v>17730021.602289729</v>
      </c>
      <c r="K19" s="13">
        <v>17778799.599719867</v>
      </c>
      <c r="L19" s="12">
        <v>17358838.674029812</v>
      </c>
      <c r="M19" s="12">
        <v>16167063.651719812</v>
      </c>
      <c r="N19" s="12">
        <v>15679321.866809871</v>
      </c>
      <c r="O19" s="12">
        <v>15478086.649019852</v>
      </c>
      <c r="P19" s="12">
        <v>15228749.09817986</v>
      </c>
      <c r="Q19" s="12">
        <v>14743103.5</v>
      </c>
      <c r="R19" s="12">
        <v>14468202</v>
      </c>
    </row>
    <row r="20" spans="1:26" x14ac:dyDescent="0.2">
      <c r="A20" s="11" t="s">
        <v>99</v>
      </c>
      <c r="B20" s="109" t="s">
        <v>149</v>
      </c>
      <c r="C20" s="156">
        <v>10598966.461999999</v>
      </c>
      <c r="D20" s="156">
        <v>10838042.538000001</v>
      </c>
      <c r="E20" s="156">
        <v>10671566.552750032</v>
      </c>
      <c r="F20" s="13">
        <v>10651204.762010034</v>
      </c>
      <c r="G20" s="13">
        <v>10658593.773430044</v>
      </c>
      <c r="H20" s="13">
        <v>10904126.716830069</v>
      </c>
      <c r="I20" s="13">
        <v>10028321.423190072</v>
      </c>
      <c r="J20" s="13">
        <v>9923174.4379000552</v>
      </c>
      <c r="K20" s="13">
        <v>10034092.177220032</v>
      </c>
      <c r="L20" s="12">
        <v>10068578.189180031</v>
      </c>
      <c r="M20" s="12">
        <v>9933980.8027600218</v>
      </c>
      <c r="N20" s="12">
        <v>9903986.891990032</v>
      </c>
      <c r="O20" s="12">
        <v>9714233.5407400448</v>
      </c>
      <c r="P20" s="12">
        <v>9856150.2072700337</v>
      </c>
      <c r="Q20" s="12">
        <v>9259110</v>
      </c>
      <c r="R20" s="12">
        <v>9085300</v>
      </c>
    </row>
    <row r="21" spans="1:26" x14ac:dyDescent="0.2">
      <c r="A21" s="11" t="s">
        <v>100</v>
      </c>
      <c r="B21" s="109"/>
      <c r="C21" s="156">
        <v>8116190.148</v>
      </c>
      <c r="D21" s="156">
        <v>8263731.1140000001</v>
      </c>
      <c r="E21" s="156">
        <v>8463612.7554799989</v>
      </c>
      <c r="F21" s="13">
        <v>8394477.922530001</v>
      </c>
      <c r="G21" s="13">
        <v>8597906.3007399999</v>
      </c>
      <c r="H21" s="13">
        <v>8317882.6971800011</v>
      </c>
      <c r="I21" s="13">
        <v>8436757.8482100014</v>
      </c>
      <c r="J21" s="13">
        <v>8370356.4690199979</v>
      </c>
      <c r="K21" s="13">
        <v>8123349.065179999</v>
      </c>
      <c r="L21" s="12">
        <v>7555028.2433999991</v>
      </c>
      <c r="M21" s="12">
        <v>6731759.8804599997</v>
      </c>
      <c r="N21" s="12">
        <v>6173420.8199899998</v>
      </c>
      <c r="O21" s="12">
        <v>6182901.5029599983</v>
      </c>
      <c r="P21" s="12">
        <v>5991873.5369099984</v>
      </c>
      <c r="Q21" s="12">
        <v>5943113</v>
      </c>
      <c r="R21" s="12">
        <v>5720132</v>
      </c>
    </row>
    <row r="22" spans="1:26" x14ac:dyDescent="0.2">
      <c r="A22" s="11" t="s">
        <v>101</v>
      </c>
      <c r="B22" s="109"/>
      <c r="C22" s="156">
        <v>200863.66699999999</v>
      </c>
      <c r="D22" s="156">
        <v>200752.95800000001</v>
      </c>
      <c r="E22" s="156">
        <v>200701.99999999994</v>
      </c>
      <c r="F22" s="13">
        <v>200709.72221999994</v>
      </c>
      <c r="G22" s="13">
        <v>200575.23610999997</v>
      </c>
      <c r="H22" s="13">
        <v>200411.05554999996</v>
      </c>
      <c r="I22" s="13">
        <v>200234.61110999997</v>
      </c>
      <c r="J22" s="13">
        <v>200189.83332999999</v>
      </c>
      <c r="K22" s="13">
        <v>200156.55554999999</v>
      </c>
      <c r="L22" s="12">
        <v>200134.11111</v>
      </c>
      <c r="M22" s="12">
        <v>200153.26388999994</v>
      </c>
      <c r="N22" s="12">
        <v>200155.61110999997</v>
      </c>
      <c r="O22" s="12">
        <v>200137.77777999995</v>
      </c>
      <c r="P22" s="12">
        <v>200134.59721999997</v>
      </c>
      <c r="Q22" s="12">
        <v>200245</v>
      </c>
      <c r="R22" s="12">
        <v>200241</v>
      </c>
    </row>
    <row r="23" spans="1:26" x14ac:dyDescent="0.2">
      <c r="A23" s="11" t="s">
        <v>102</v>
      </c>
      <c r="B23" s="109" t="s">
        <v>171</v>
      </c>
      <c r="C23" s="156">
        <v>2630001.9828600003</v>
      </c>
      <c r="D23" s="156">
        <v>2559466.5638600001</v>
      </c>
      <c r="E23" s="156">
        <v>2456800.7400400015</v>
      </c>
      <c r="F23" s="13">
        <v>2490219.4010399999</v>
      </c>
      <c r="G23" s="13">
        <v>2359403.77032999</v>
      </c>
      <c r="H23" s="13">
        <v>2301655.3292599982</v>
      </c>
      <c r="I23" s="13">
        <v>2254318.5344100003</v>
      </c>
      <c r="J23" s="13">
        <v>2184038.0129200094</v>
      </c>
      <c r="K23" s="13">
        <v>2144254.0391100007</v>
      </c>
      <c r="L23" s="20">
        <v>2058826.1869700002</v>
      </c>
      <c r="M23" s="20">
        <v>2030502.8691600007</v>
      </c>
      <c r="N23" s="20">
        <v>2039400.0471800023</v>
      </c>
      <c r="O23" s="20">
        <v>1946837.5747699982</v>
      </c>
      <c r="P23" s="20">
        <v>1904395.1723199945</v>
      </c>
      <c r="Q23" s="20">
        <v>1871720</v>
      </c>
      <c r="R23" s="20">
        <v>1900426.2999999998</v>
      </c>
    </row>
    <row r="24" spans="1:26" x14ac:dyDescent="0.2">
      <c r="A24" s="11" t="s">
        <v>103</v>
      </c>
      <c r="B24" s="109"/>
      <c r="C24" s="156">
        <v>21788823</v>
      </c>
      <c r="D24" s="156">
        <v>22136236.583860002</v>
      </c>
      <c r="E24" s="156">
        <v>22119882.199110031</v>
      </c>
      <c r="F24" s="13">
        <v>21974314.547970034</v>
      </c>
      <c r="G24" s="13">
        <v>22050085.62483</v>
      </c>
      <c r="H24" s="13">
        <v>21949215.152980071</v>
      </c>
      <c r="I24" s="13">
        <v>21203324.595910076</v>
      </c>
      <c r="J24" s="13">
        <v>20843345</v>
      </c>
      <c r="K24" s="13">
        <v>20670818.58611</v>
      </c>
      <c r="L24" s="20">
        <v>20034418</v>
      </c>
      <c r="M24" s="20">
        <v>19276532</v>
      </c>
      <c r="N24" s="20">
        <v>18657838.692710031</v>
      </c>
      <c r="O24" s="20">
        <v>18386601.029119045</v>
      </c>
      <c r="P24" s="20">
        <v>18278603.696750026</v>
      </c>
      <c r="Q24" s="20">
        <v>17575242</v>
      </c>
      <c r="R24" s="20">
        <v>17065433.599999998</v>
      </c>
    </row>
    <row r="25" spans="1:26" x14ac:dyDescent="0.2">
      <c r="A25" s="11" t="s">
        <v>104</v>
      </c>
      <c r="B25" s="109"/>
      <c r="C25" s="156">
        <v>22008435</v>
      </c>
      <c r="D25" s="156">
        <v>22043171</v>
      </c>
      <c r="E25" s="156">
        <v>22199993</v>
      </c>
      <c r="F25" s="12">
        <v>22017068</v>
      </c>
      <c r="G25" s="12">
        <v>21876830</v>
      </c>
      <c r="H25" s="12">
        <v>21530095</v>
      </c>
      <c r="I25" s="12">
        <v>21067720</v>
      </c>
      <c r="J25" s="12">
        <v>20799417</v>
      </c>
      <c r="K25" s="13">
        <v>20357446</v>
      </c>
      <c r="L25" s="12">
        <v>19581558</v>
      </c>
      <c r="M25" s="12">
        <v>18959065</v>
      </c>
      <c r="N25" s="12">
        <v>18525489</v>
      </c>
      <c r="O25" s="12">
        <v>18313545</v>
      </c>
      <c r="P25" s="12">
        <v>18145979</v>
      </c>
      <c r="Q25" s="12">
        <v>17404757.649999999</v>
      </c>
      <c r="R25" s="12">
        <v>17028348</v>
      </c>
    </row>
    <row r="26" spans="1:26" x14ac:dyDescent="0.2">
      <c r="A26" s="11" t="s">
        <v>29</v>
      </c>
      <c r="B26" s="109" t="s">
        <v>165</v>
      </c>
      <c r="C26" s="12">
        <v>3606378</v>
      </c>
      <c r="D26" s="12">
        <v>2913291</v>
      </c>
      <c r="E26" s="12">
        <v>2796350</v>
      </c>
      <c r="F26" s="12">
        <v>2583525</v>
      </c>
      <c r="G26" s="12">
        <v>2314942</v>
      </c>
      <c r="H26" s="12">
        <v>2275765</v>
      </c>
      <c r="I26" s="12">
        <v>2427530</v>
      </c>
      <c r="J26" s="12">
        <v>2399721</v>
      </c>
      <c r="K26" s="13">
        <v>2433214.9</v>
      </c>
      <c r="L26" s="12">
        <v>2513001</v>
      </c>
      <c r="M26" s="21">
        <v>2681504</v>
      </c>
      <c r="N26" s="21">
        <v>2853917</v>
      </c>
      <c r="O26" s="21">
        <v>3009916.1230000001</v>
      </c>
      <c r="P26" s="21">
        <v>3002556.77</v>
      </c>
      <c r="Q26" s="21">
        <v>2926980</v>
      </c>
      <c r="R26" s="21">
        <v>3071420</v>
      </c>
    </row>
    <row r="27" spans="1:26" x14ac:dyDescent="0.2">
      <c r="A27" s="11" t="s">
        <v>106</v>
      </c>
      <c r="B27" s="109"/>
      <c r="C27" s="12">
        <v>87</v>
      </c>
      <c r="D27" s="12">
        <v>89.51</v>
      </c>
      <c r="E27" s="12">
        <v>89.51</v>
      </c>
      <c r="F27" s="12">
        <v>90</v>
      </c>
      <c r="G27" s="12">
        <v>88</v>
      </c>
      <c r="H27" s="12">
        <v>88</v>
      </c>
      <c r="I27" s="12">
        <v>88</v>
      </c>
      <c r="J27" s="12">
        <v>89</v>
      </c>
      <c r="K27" s="13">
        <v>90</v>
      </c>
      <c r="L27" s="12">
        <v>88.7</v>
      </c>
    </row>
    <row r="28" spans="1:26" x14ac:dyDescent="0.2">
      <c r="B28" s="107"/>
      <c r="C28" s="81"/>
      <c r="D28" s="154"/>
      <c r="E28" s="154"/>
    </row>
    <row r="29" spans="1:26" x14ac:dyDescent="0.2">
      <c r="A29" s="91" t="s">
        <v>203</v>
      </c>
      <c r="B29" s="108"/>
      <c r="C29" s="157">
        <v>45199</v>
      </c>
      <c r="D29" s="157">
        <v>45107</v>
      </c>
      <c r="E29" s="157">
        <v>45016</v>
      </c>
      <c r="F29" s="95">
        <v>44926</v>
      </c>
      <c r="G29" s="95">
        <v>44834</v>
      </c>
      <c r="H29" s="95">
        <v>44742</v>
      </c>
      <c r="I29" s="95">
        <v>44651</v>
      </c>
      <c r="J29" s="95">
        <v>44561</v>
      </c>
      <c r="K29" s="95">
        <v>44469</v>
      </c>
      <c r="L29" s="95">
        <v>44377</v>
      </c>
      <c r="M29" s="95">
        <v>44286</v>
      </c>
      <c r="N29" s="30"/>
      <c r="O29" s="30"/>
      <c r="P29" s="30"/>
      <c r="Q29" s="30"/>
      <c r="R29" s="30"/>
    </row>
    <row r="30" spans="1:26" x14ac:dyDescent="0.2">
      <c r="A30" s="29" t="s">
        <v>139</v>
      </c>
      <c r="B30" s="106" t="s">
        <v>142</v>
      </c>
      <c r="C30" s="158">
        <f>+D30</f>
        <v>125000</v>
      </c>
      <c r="D30" s="158">
        <f>+E30</f>
        <v>125000</v>
      </c>
      <c r="E30" s="158">
        <f>+F30</f>
        <v>125000</v>
      </c>
      <c r="F30" s="12">
        <f>+G30</f>
        <v>125000</v>
      </c>
      <c r="G30" s="12">
        <v>125000</v>
      </c>
      <c r="H30" s="12">
        <v>125000</v>
      </c>
      <c r="I30" s="12">
        <v>125000</v>
      </c>
      <c r="J30" s="12">
        <v>125000</v>
      </c>
      <c r="K30" s="12">
        <v>143000</v>
      </c>
      <c r="L30" s="12">
        <v>143000</v>
      </c>
      <c r="M30" s="12">
        <v>143000</v>
      </c>
    </row>
    <row r="31" spans="1:26" x14ac:dyDescent="0.2">
      <c r="A31" s="29" t="s">
        <v>207</v>
      </c>
      <c r="B31" s="106" t="s">
        <v>142</v>
      </c>
      <c r="C31" s="158">
        <f t="shared" ref="C31:D31" si="0">+C30</f>
        <v>125000</v>
      </c>
      <c r="D31" s="158">
        <f t="shared" si="0"/>
        <v>125000</v>
      </c>
      <c r="E31" s="158">
        <f t="shared" ref="E31:F31" si="1">+E30</f>
        <v>125000</v>
      </c>
      <c r="F31" s="12">
        <f t="shared" si="1"/>
        <v>125000</v>
      </c>
      <c r="G31" s="12">
        <f t="shared" ref="G31:H32" si="2">+G30</f>
        <v>125000</v>
      </c>
      <c r="H31" s="12">
        <f t="shared" si="2"/>
        <v>125000</v>
      </c>
      <c r="I31" s="12">
        <f>+I30</f>
        <v>125000</v>
      </c>
      <c r="J31" s="12">
        <v>137000</v>
      </c>
      <c r="K31" s="12">
        <f>+K30</f>
        <v>143000</v>
      </c>
      <c r="L31" s="12">
        <f t="shared" ref="L31:M32" si="3">+L30</f>
        <v>143000</v>
      </c>
      <c r="M31" s="12">
        <f t="shared" si="3"/>
        <v>143000</v>
      </c>
      <c r="T31" s="29"/>
      <c r="U31" s="29"/>
      <c r="V31" s="29"/>
      <c r="W31" s="29"/>
      <c r="X31" s="29"/>
      <c r="Y31" s="29"/>
      <c r="Z31" s="29"/>
    </row>
    <row r="32" spans="1:26" x14ac:dyDescent="0.2">
      <c r="A32" s="29" t="s">
        <v>208</v>
      </c>
      <c r="B32" s="106" t="s">
        <v>142</v>
      </c>
      <c r="C32" s="158">
        <f t="shared" ref="C32:D32" si="4">+C31</f>
        <v>125000</v>
      </c>
      <c r="D32" s="158">
        <f t="shared" si="4"/>
        <v>125000</v>
      </c>
      <c r="E32" s="158">
        <f t="shared" ref="E32:F32" si="5">+E31</f>
        <v>125000</v>
      </c>
      <c r="F32" s="12">
        <f t="shared" si="5"/>
        <v>125000</v>
      </c>
      <c r="G32" s="12">
        <f t="shared" si="2"/>
        <v>125000</v>
      </c>
      <c r="H32" s="12">
        <f t="shared" si="2"/>
        <v>125000</v>
      </c>
      <c r="I32" s="12">
        <f>+I31</f>
        <v>125000</v>
      </c>
      <c r="J32" s="12">
        <v>141400</v>
      </c>
      <c r="K32" s="12">
        <f>+K31</f>
        <v>143000</v>
      </c>
      <c r="L32" s="12">
        <f t="shared" si="3"/>
        <v>143000</v>
      </c>
      <c r="M32" s="12">
        <f t="shared" si="3"/>
        <v>143000</v>
      </c>
    </row>
    <row r="33" spans="1:18" x14ac:dyDescent="0.2">
      <c r="A33" s="29" t="s">
        <v>173</v>
      </c>
      <c r="B33" s="106" t="s">
        <v>174</v>
      </c>
      <c r="C33" s="159">
        <f>+D33</f>
        <v>6124.5339999999997</v>
      </c>
      <c r="D33" s="159">
        <f>+E33</f>
        <v>6124.5339999999997</v>
      </c>
      <c r="E33" s="159">
        <f>+F33</f>
        <v>6124.5339999999997</v>
      </c>
      <c r="F33" s="30">
        <f>+G33</f>
        <v>6124.5339999999997</v>
      </c>
      <c r="G33" s="30">
        <v>6124.5339999999997</v>
      </c>
      <c r="H33" s="30">
        <v>6124.5339999999997</v>
      </c>
      <c r="I33" s="30">
        <v>6124.5339999999997</v>
      </c>
      <c r="J33" s="30">
        <v>6124.5339999999997</v>
      </c>
      <c r="K33" s="30">
        <v>6124.5339999999997</v>
      </c>
      <c r="L33" s="30">
        <v>6124.5339999999997</v>
      </c>
      <c r="M33" s="30"/>
      <c r="N33" s="30"/>
      <c r="O33" s="30"/>
      <c r="P33" s="30"/>
      <c r="Q33" s="30"/>
      <c r="R33" s="30"/>
    </row>
    <row r="34" spans="1:18" x14ac:dyDescent="0.2">
      <c r="A34" s="10" t="s">
        <v>63</v>
      </c>
      <c r="B34" s="109" t="s">
        <v>172</v>
      </c>
      <c r="C34" s="160">
        <v>48.48</v>
      </c>
      <c r="D34" s="160">
        <v>48.48</v>
      </c>
      <c r="E34" s="160">
        <v>48.48</v>
      </c>
      <c r="F34" s="27">
        <f>+G34</f>
        <v>49.97</v>
      </c>
      <c r="G34" s="27">
        <f>+H34</f>
        <v>49.97</v>
      </c>
      <c r="H34" s="27">
        <v>49.97</v>
      </c>
      <c r="I34" s="27">
        <v>49.97</v>
      </c>
      <c r="J34" s="27">
        <v>51.39</v>
      </c>
      <c r="K34" s="27">
        <v>51.39</v>
      </c>
      <c r="L34" s="28">
        <v>51.39</v>
      </c>
      <c r="M34" s="30"/>
      <c r="N34" s="30"/>
      <c r="O34" s="30"/>
      <c r="P34" s="30"/>
      <c r="Q34" s="30"/>
      <c r="R34" s="30"/>
    </row>
    <row r="35" spans="1:18" x14ac:dyDescent="0.2">
      <c r="A35" s="29" t="s">
        <v>178</v>
      </c>
      <c r="B35" s="106" t="s">
        <v>179</v>
      </c>
      <c r="C35" s="161">
        <v>198</v>
      </c>
      <c r="D35" s="161">
        <v>204</v>
      </c>
      <c r="E35" s="161">
        <v>208</v>
      </c>
      <c r="F35" s="30">
        <v>220</v>
      </c>
      <c r="G35" s="30">
        <v>195</v>
      </c>
      <c r="H35" s="30">
        <v>202</v>
      </c>
      <c r="I35" s="30">
        <v>264</v>
      </c>
      <c r="J35" s="30">
        <v>216</v>
      </c>
      <c r="K35" s="30">
        <v>185</v>
      </c>
      <c r="L35" s="30">
        <v>176</v>
      </c>
      <c r="M35" s="30"/>
      <c r="N35" s="30"/>
      <c r="O35" s="30"/>
      <c r="P35" s="30"/>
      <c r="Q35" s="30"/>
      <c r="R35" s="30"/>
    </row>
    <row r="36" spans="1:18" x14ac:dyDescent="0.2">
      <c r="A36" s="11" t="s">
        <v>187</v>
      </c>
      <c r="B36" s="106" t="s">
        <v>141</v>
      </c>
      <c r="C36" s="31">
        <v>2577254</v>
      </c>
      <c r="D36" s="31">
        <v>2515945</v>
      </c>
      <c r="E36" s="31">
        <v>2502892</v>
      </c>
      <c r="F36" s="31">
        <v>2414776</v>
      </c>
      <c r="G36" s="31">
        <v>2330778</v>
      </c>
      <c r="H36" s="31">
        <v>2291311</v>
      </c>
      <c r="I36" s="31">
        <v>2237474</v>
      </c>
      <c r="J36" s="31">
        <v>2159741</v>
      </c>
      <c r="K36" s="31">
        <v>2100382</v>
      </c>
      <c r="L36" s="31">
        <v>2056893</v>
      </c>
      <c r="M36" s="31">
        <v>1979060</v>
      </c>
      <c r="N36" s="30"/>
      <c r="O36" s="30"/>
      <c r="P36" s="30"/>
      <c r="Q36" s="30"/>
      <c r="R36" s="30"/>
    </row>
    <row r="37" spans="1:18" x14ac:dyDescent="0.2">
      <c r="A37" s="11" t="s">
        <v>188</v>
      </c>
      <c r="B37" s="106" t="s">
        <v>141</v>
      </c>
      <c r="C37" s="31">
        <v>2536807</v>
      </c>
      <c r="D37" s="31">
        <v>2516935</v>
      </c>
      <c r="E37" s="31">
        <v>2502892</v>
      </c>
      <c r="F37" s="31">
        <v>2319240</v>
      </c>
      <c r="G37" s="31">
        <v>2284650</v>
      </c>
      <c r="H37" s="31">
        <v>2258010</v>
      </c>
      <c r="I37" s="31">
        <v>2237474</v>
      </c>
      <c r="J37" s="31">
        <v>2093889</v>
      </c>
      <c r="K37" s="31">
        <v>2069737</v>
      </c>
      <c r="L37" s="31">
        <v>2050005</v>
      </c>
      <c r="M37" s="31">
        <v>1979060</v>
      </c>
      <c r="N37" s="30"/>
      <c r="O37" s="30"/>
      <c r="P37" s="30"/>
      <c r="Q37" s="30"/>
      <c r="R37" s="30"/>
    </row>
    <row r="38" spans="1:18" x14ac:dyDescent="0.2">
      <c r="A38" s="11" t="s">
        <v>189</v>
      </c>
      <c r="B38" s="106" t="s">
        <v>118</v>
      </c>
      <c r="C38" s="31">
        <v>22008435</v>
      </c>
      <c r="D38" s="31">
        <v>22043171</v>
      </c>
      <c r="E38" s="31">
        <v>22199993</v>
      </c>
      <c r="F38" s="31">
        <v>22017068</v>
      </c>
      <c r="G38" s="31">
        <v>21871635</v>
      </c>
      <c r="H38" s="31">
        <v>21530095</v>
      </c>
      <c r="I38" s="31">
        <v>21067720</v>
      </c>
      <c r="J38" s="31">
        <v>20799417</v>
      </c>
      <c r="K38" s="31">
        <v>20357446</v>
      </c>
      <c r="L38" s="31">
        <v>19581558</v>
      </c>
      <c r="M38" s="31">
        <v>15495581</v>
      </c>
      <c r="N38" s="30"/>
      <c r="O38" s="30"/>
      <c r="P38" s="30"/>
      <c r="Q38" s="30"/>
      <c r="R38" s="30"/>
    </row>
    <row r="39" spans="1:18" x14ac:dyDescent="0.2">
      <c r="A39" s="11" t="s">
        <v>190</v>
      </c>
      <c r="B39" s="106" t="s">
        <v>118</v>
      </c>
      <c r="C39" s="31">
        <v>22076451</v>
      </c>
      <c r="D39" s="31">
        <v>22121825</v>
      </c>
      <c r="E39" s="31">
        <v>22199993</v>
      </c>
      <c r="F39" s="31">
        <v>21595648</v>
      </c>
      <c r="G39" s="31">
        <v>21472522</v>
      </c>
      <c r="H39" s="31">
        <v>21312557</v>
      </c>
      <c r="I39" s="31">
        <v>21067720</v>
      </c>
      <c r="J39" s="31">
        <v>19908177</v>
      </c>
      <c r="K39" s="31">
        <v>19627945</v>
      </c>
      <c r="L39" s="31">
        <v>19269426</v>
      </c>
      <c r="M39" s="31">
        <v>15495581</v>
      </c>
      <c r="N39" s="30"/>
      <c r="O39" s="30"/>
      <c r="P39" s="30"/>
      <c r="Q39" s="30"/>
      <c r="R39" s="30"/>
    </row>
    <row r="40" spans="1:18" x14ac:dyDescent="0.2">
      <c r="B40" s="107"/>
      <c r="C40" s="81"/>
      <c r="D40" s="154"/>
      <c r="E40" s="154"/>
      <c r="N40" s="31"/>
      <c r="O40" s="31"/>
      <c r="P40" s="30"/>
      <c r="Q40" s="30"/>
      <c r="R40" s="30"/>
    </row>
    <row r="41" spans="1:18" x14ac:dyDescent="0.2">
      <c r="B41" s="107"/>
      <c r="C41" s="81"/>
      <c r="D41" s="154"/>
      <c r="E41" s="154"/>
      <c r="N41" s="31"/>
      <c r="O41" s="31"/>
      <c r="P41" s="30"/>
      <c r="Q41" s="30"/>
      <c r="R41" s="30"/>
    </row>
    <row r="42" spans="1:18" x14ac:dyDescent="0.2">
      <c r="B42" s="107"/>
      <c r="C42" s="81"/>
      <c r="D42" s="154"/>
      <c r="E42" s="154"/>
      <c r="N42" s="31"/>
      <c r="O42" s="31"/>
      <c r="P42" s="30"/>
      <c r="Q42" s="30"/>
      <c r="R42" s="30"/>
    </row>
    <row r="43" spans="1:18" x14ac:dyDescent="0.2">
      <c r="A43" s="94" t="s">
        <v>191</v>
      </c>
      <c r="B43" s="110"/>
      <c r="C43" s="95">
        <v>45199</v>
      </c>
      <c r="D43" s="95">
        <v>45107</v>
      </c>
      <c r="E43" s="95">
        <v>45016</v>
      </c>
      <c r="F43" s="95">
        <v>44926</v>
      </c>
      <c r="G43" s="95">
        <f t="shared" ref="G43:M43" si="6">+G18</f>
        <v>44834</v>
      </c>
      <c r="H43" s="95">
        <f t="shared" si="6"/>
        <v>44742</v>
      </c>
      <c r="I43" s="95">
        <f t="shared" si="6"/>
        <v>44651</v>
      </c>
      <c r="J43" s="95">
        <f t="shared" si="6"/>
        <v>44561</v>
      </c>
      <c r="K43" s="95">
        <f t="shared" si="6"/>
        <v>44469</v>
      </c>
      <c r="L43" s="95">
        <f t="shared" si="6"/>
        <v>44377</v>
      </c>
      <c r="M43" s="95">
        <f t="shared" si="6"/>
        <v>44286</v>
      </c>
      <c r="N43" s="95">
        <v>44196</v>
      </c>
      <c r="O43" s="31"/>
      <c r="P43" s="30"/>
      <c r="Q43" s="30"/>
      <c r="R43" s="30"/>
    </row>
    <row r="44" spans="1:18" x14ac:dyDescent="0.2">
      <c r="A44" s="11" t="s">
        <v>89</v>
      </c>
      <c r="B44" s="107" t="s">
        <v>120</v>
      </c>
      <c r="C44" s="12">
        <v>384705</v>
      </c>
      <c r="D44" s="12">
        <v>250532</v>
      </c>
      <c r="E44" s="12">
        <v>122912.47058000037</v>
      </c>
      <c r="F44" s="12">
        <v>417285.0513899934</v>
      </c>
      <c r="G44" s="12">
        <v>296851</v>
      </c>
      <c r="H44" s="12">
        <v>188386</v>
      </c>
      <c r="I44" s="12">
        <v>91273.909800000023</v>
      </c>
      <c r="J44" s="13">
        <v>346461</v>
      </c>
      <c r="K44" s="13">
        <v>253637</v>
      </c>
      <c r="L44" s="12">
        <v>162331</v>
      </c>
      <c r="M44" s="23">
        <v>78448.689420000243</v>
      </c>
      <c r="N44" s="23">
        <v>322559</v>
      </c>
      <c r="O44" s="30"/>
      <c r="P44" s="30"/>
      <c r="Q44" s="30"/>
      <c r="R44" s="30"/>
    </row>
    <row r="45" spans="1:18" x14ac:dyDescent="0.2">
      <c r="A45" s="11" t="s">
        <v>90</v>
      </c>
      <c r="B45" s="107" t="s">
        <v>123</v>
      </c>
      <c r="C45" s="12">
        <v>94676</v>
      </c>
      <c r="D45" s="12">
        <v>74005</v>
      </c>
      <c r="E45" s="12">
        <v>14331.357110000004</v>
      </c>
      <c r="F45" s="12">
        <v>104104.36939000005</v>
      </c>
      <c r="G45" s="12">
        <v>84485</v>
      </c>
      <c r="H45" s="12">
        <v>68573</v>
      </c>
      <c r="I45" s="12">
        <v>19655.227310000009</v>
      </c>
      <c r="J45" s="13">
        <v>115554</v>
      </c>
      <c r="K45" s="13">
        <v>85212</v>
      </c>
      <c r="L45" s="12">
        <v>64587</v>
      </c>
      <c r="M45" s="23">
        <v>21939.412199999995</v>
      </c>
      <c r="N45" s="23">
        <v>104251</v>
      </c>
      <c r="O45" s="30"/>
      <c r="P45" s="30"/>
      <c r="Q45" s="30"/>
      <c r="R45" s="30"/>
    </row>
    <row r="46" spans="1:18" x14ac:dyDescent="0.2">
      <c r="A46" s="11" t="s">
        <v>91</v>
      </c>
      <c r="B46" s="107" t="s">
        <v>124</v>
      </c>
      <c r="C46" s="12">
        <v>155176</v>
      </c>
      <c r="D46" s="12">
        <v>105879</v>
      </c>
      <c r="E46" s="12">
        <v>53553.157949999993</v>
      </c>
      <c r="F46" s="12">
        <v>192748.56657000002</v>
      </c>
      <c r="G46" s="12">
        <v>141336</v>
      </c>
      <c r="H46" s="12">
        <v>96620</v>
      </c>
      <c r="I46" s="12">
        <v>50218.960200000001</v>
      </c>
      <c r="J46" s="13">
        <v>192907</v>
      </c>
      <c r="K46" s="13">
        <v>144601</v>
      </c>
      <c r="L46" s="12">
        <v>102837</v>
      </c>
      <c r="M46" s="23">
        <v>37894.891669999997</v>
      </c>
      <c r="N46" s="23">
        <v>173061</v>
      </c>
    </row>
    <row r="47" spans="1:18" x14ac:dyDescent="0.2">
      <c r="A47" s="14" t="s">
        <v>92</v>
      </c>
      <c r="B47" s="129" t="s">
        <v>133</v>
      </c>
      <c r="C47" s="15">
        <v>324205</v>
      </c>
      <c r="D47" s="15">
        <v>218658</v>
      </c>
      <c r="E47" s="15">
        <v>83690.66974000039</v>
      </c>
      <c r="F47" s="15">
        <v>328640.85420999344</v>
      </c>
      <c r="G47" s="15">
        <v>239999</v>
      </c>
      <c r="H47" s="15">
        <v>160339</v>
      </c>
      <c r="I47" s="15">
        <v>60710.176910000038</v>
      </c>
      <c r="J47" s="16">
        <v>269109</v>
      </c>
      <c r="K47" s="16">
        <v>194247</v>
      </c>
      <c r="L47" s="15">
        <v>124081</v>
      </c>
      <c r="M47" s="24">
        <v>62493.209950000237</v>
      </c>
      <c r="N47" s="24">
        <v>253749</v>
      </c>
    </row>
    <row r="48" spans="1:18" x14ac:dyDescent="0.2">
      <c r="A48" s="11" t="s">
        <v>93</v>
      </c>
      <c r="B48" s="113"/>
      <c r="C48" s="12">
        <v>28474</v>
      </c>
      <c r="D48" s="12">
        <v>15785</v>
      </c>
      <c r="E48" s="12">
        <v>6582.912559999977</v>
      </c>
      <c r="F48" s="12">
        <v>18037.003280000001</v>
      </c>
      <c r="G48" s="12">
        <v>10844</v>
      </c>
      <c r="H48" s="12">
        <v>7043</v>
      </c>
      <c r="I48" s="12">
        <v>5164.93090999998</v>
      </c>
      <c r="J48" s="13">
        <v>5089</v>
      </c>
      <c r="K48" s="13">
        <v>-253</v>
      </c>
      <c r="L48" s="12">
        <v>887</v>
      </c>
      <c r="M48" s="23">
        <v>2505.7314699999988</v>
      </c>
      <c r="N48" s="23">
        <v>30014</v>
      </c>
    </row>
    <row r="49" spans="1:14" x14ac:dyDescent="0.2">
      <c r="A49" s="14" t="s">
        <v>94</v>
      </c>
      <c r="B49" s="112"/>
      <c r="C49" s="15">
        <v>295731</v>
      </c>
      <c r="D49" s="15">
        <v>202874</v>
      </c>
      <c r="E49" s="15">
        <v>77107.757180000408</v>
      </c>
      <c r="F49" s="15">
        <v>310604</v>
      </c>
      <c r="G49" s="15">
        <v>229155</v>
      </c>
      <c r="H49" s="15">
        <v>153297</v>
      </c>
      <c r="I49" s="15">
        <v>55545.246000000057</v>
      </c>
      <c r="J49" s="16">
        <v>264019</v>
      </c>
      <c r="K49" s="16">
        <v>194501</v>
      </c>
      <c r="L49" s="15">
        <v>123195</v>
      </c>
      <c r="M49" s="24">
        <v>59987.478480000238</v>
      </c>
      <c r="N49" s="24">
        <v>223635</v>
      </c>
    </row>
    <row r="50" spans="1:14" x14ac:dyDescent="0.2">
      <c r="A50" s="11" t="s">
        <v>95</v>
      </c>
      <c r="B50" s="107"/>
      <c r="C50" s="12">
        <v>63958</v>
      </c>
      <c r="D50" s="12">
        <v>41636</v>
      </c>
      <c r="E50" s="12">
        <v>18536</v>
      </c>
      <c r="F50" s="12">
        <v>65985</v>
      </c>
      <c r="G50" s="12">
        <v>45680</v>
      </c>
      <c r="H50" s="12">
        <v>27570</v>
      </c>
      <c r="I50" s="12">
        <v>13283</v>
      </c>
      <c r="J50" s="13">
        <v>54520</v>
      </c>
      <c r="K50" s="13">
        <v>39680</v>
      </c>
      <c r="L50" s="12">
        <v>22650</v>
      </c>
      <c r="M50" s="23">
        <v>14350</v>
      </c>
      <c r="N50" s="23">
        <v>43683</v>
      </c>
    </row>
    <row r="51" spans="1:14" x14ac:dyDescent="0.2">
      <c r="A51" s="17" t="s">
        <v>96</v>
      </c>
      <c r="B51" s="107" t="s">
        <v>135</v>
      </c>
      <c r="C51" s="18">
        <v>231773</v>
      </c>
      <c r="D51" s="18">
        <v>161238</v>
      </c>
      <c r="E51" s="18">
        <v>58571.757180000408</v>
      </c>
      <c r="F51" s="18">
        <v>244619</v>
      </c>
      <c r="G51" s="18">
        <v>183475</v>
      </c>
      <c r="H51" s="18">
        <v>125727</v>
      </c>
      <c r="I51" s="18">
        <v>42262.246000000057</v>
      </c>
      <c r="J51" s="19">
        <v>209500</v>
      </c>
      <c r="K51" s="19">
        <v>154821</v>
      </c>
      <c r="L51" s="18">
        <v>100545</v>
      </c>
      <c r="M51" s="25">
        <v>45637.478480000238</v>
      </c>
      <c r="N51" s="25">
        <v>179953</v>
      </c>
    </row>
    <row r="52" spans="1:14" x14ac:dyDescent="0.2">
      <c r="A52" s="17"/>
      <c r="B52" s="107"/>
      <c r="C52" s="154"/>
      <c r="D52" s="154"/>
      <c r="E52" s="154"/>
      <c r="F52" s="18"/>
      <c r="G52" s="18"/>
      <c r="H52" s="18"/>
      <c r="I52" s="18"/>
      <c r="J52" s="19"/>
      <c r="K52" s="19"/>
      <c r="L52" s="18"/>
      <c r="M52" s="25"/>
    </row>
    <row r="53" spans="1:14" x14ac:dyDescent="0.2">
      <c r="A53" s="17" t="s">
        <v>204</v>
      </c>
      <c r="B53" s="107"/>
      <c r="C53" s="154"/>
      <c r="D53" s="154"/>
      <c r="E53" s="154"/>
    </row>
    <row r="54" spans="1:14" x14ac:dyDescent="0.2">
      <c r="A54" s="29" t="s">
        <v>115</v>
      </c>
      <c r="B54" s="107"/>
      <c r="C54" s="154"/>
      <c r="D54" s="154"/>
      <c r="E54" s="154"/>
      <c r="F54" s="12"/>
      <c r="G54" s="12"/>
      <c r="H54" s="12"/>
      <c r="I54" s="12"/>
      <c r="J54" s="12"/>
      <c r="K54" s="13"/>
      <c r="L54" s="12"/>
    </row>
    <row r="55" spans="1:14" x14ac:dyDescent="0.2">
      <c r="A55" s="29" t="s">
        <v>116</v>
      </c>
      <c r="B55" s="107" t="s">
        <v>129</v>
      </c>
      <c r="C55" s="155">
        <v>3171</v>
      </c>
      <c r="D55" s="155">
        <v>1000</v>
      </c>
      <c r="E55" s="155">
        <v>-4618</v>
      </c>
      <c r="F55" s="12">
        <v>-17128</v>
      </c>
      <c r="G55" s="12">
        <f>+H55+Grunnlagstall!G14</f>
        <v>-13405</v>
      </c>
      <c r="H55" s="12">
        <f>+I55+Grunnlagstall!H14</f>
        <v>-9146</v>
      </c>
      <c r="I55" s="12">
        <f>+Grunnlagstall!I14</f>
        <v>-1312</v>
      </c>
      <c r="J55" s="12">
        <f>+K55+Grunnlagstall!J14</f>
        <v>1142</v>
      </c>
      <c r="K55" s="12">
        <f>+L55+Grunnlagstall!K14</f>
        <v>2002</v>
      </c>
      <c r="L55" s="12">
        <f>+M55+Grunnlagstall!L14</f>
        <v>1548</v>
      </c>
      <c r="M55" s="12">
        <f>+Grunnlagstall!M14</f>
        <v>2720</v>
      </c>
      <c r="N55" s="29">
        <v>-11968</v>
      </c>
    </row>
    <row r="56" spans="1:14" x14ac:dyDescent="0.2">
      <c r="A56" s="29" t="s">
        <v>136</v>
      </c>
      <c r="B56" s="111" t="s">
        <v>137</v>
      </c>
      <c r="C56" s="155">
        <v>6953</v>
      </c>
      <c r="D56" s="155">
        <f>2174+D15</f>
        <v>4526</v>
      </c>
      <c r="E56" s="155">
        <v>2174</v>
      </c>
      <c r="F56" s="12">
        <v>6839</v>
      </c>
      <c r="G56" s="12">
        <f>+H56+Grunnlagstall!G15</f>
        <v>4672</v>
      </c>
      <c r="H56" s="12">
        <f>+I56+Grunnlagstall!H15</f>
        <v>2758</v>
      </c>
      <c r="I56" s="12">
        <f>+Grunnlagstall!I15</f>
        <v>1437</v>
      </c>
      <c r="J56" s="12">
        <f>+Grunnlagstall!J15+Grunnlagstall!K56</f>
        <v>5533</v>
      </c>
      <c r="K56" s="12">
        <f>+Grunnlagstall!K15+Grunnlagstall!L56</f>
        <v>4073</v>
      </c>
      <c r="L56" s="12">
        <f>+Grunnlagstall!L15+Grunnlagstall!M56</f>
        <v>2730</v>
      </c>
      <c r="M56" s="32">
        <f>+Grunnlagstall!M15</f>
        <v>1321</v>
      </c>
      <c r="N56" s="29">
        <v>6447</v>
      </c>
    </row>
    <row r="57" spans="1:14" x14ac:dyDescent="0.2">
      <c r="B57" s="96"/>
      <c r="D57" s="96"/>
      <c r="E57" s="96"/>
    </row>
    <row r="58" spans="1:14" x14ac:dyDescent="0.2">
      <c r="B58" s="96"/>
      <c r="D58" s="96"/>
      <c r="E58" s="96"/>
    </row>
    <row r="61" spans="1:14" x14ac:dyDescent="0.2">
      <c r="A61" s="29"/>
    </row>
    <row r="62" spans="1:14" x14ac:dyDescent="0.2">
      <c r="A62" s="29"/>
    </row>
    <row r="63" spans="1:14" x14ac:dyDescent="0.2">
      <c r="A63" s="10"/>
    </row>
    <row r="64" spans="1:14" x14ac:dyDescent="0.2">
      <c r="A64" s="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608-7C37-4503-8508-9332D7322282}">
  <dimension ref="A1:E34"/>
  <sheetViews>
    <sheetView zoomScaleNormal="100" workbookViewId="0">
      <selection activeCell="F8" sqref="F8"/>
    </sheetView>
  </sheetViews>
  <sheetFormatPr baseColWidth="10" defaultRowHeight="12.75" x14ac:dyDescent="0.2"/>
  <cols>
    <col min="1" max="1" width="61.85546875" style="127" bestFit="1" customWidth="1"/>
    <col min="2" max="3" width="25.85546875" customWidth="1"/>
    <col min="4" max="5" width="11.140625" style="29" customWidth="1"/>
  </cols>
  <sheetData>
    <row r="1" spans="1:5" ht="25.5" customHeight="1" x14ac:dyDescent="0.25">
      <c r="A1" s="34" t="s">
        <v>216</v>
      </c>
      <c r="B1" s="142"/>
      <c r="C1" s="142"/>
      <c r="D1" s="35"/>
      <c r="E1" s="36"/>
    </row>
    <row r="2" spans="1:5" ht="25.5" customHeight="1" thickBot="1" x14ac:dyDescent="0.3">
      <c r="A2" s="137" t="s">
        <v>217</v>
      </c>
      <c r="B2" s="115"/>
      <c r="C2" s="38"/>
      <c r="D2" s="39"/>
      <c r="E2" s="40"/>
    </row>
    <row r="3" spans="1:5" ht="22.5" customHeight="1" x14ac:dyDescent="0.2">
      <c r="A3" s="41" t="s">
        <v>194</v>
      </c>
      <c r="B3" s="114" t="s">
        <v>122</v>
      </c>
      <c r="C3" s="134">
        <v>44926</v>
      </c>
      <c r="D3" s="130">
        <v>44561</v>
      </c>
      <c r="E3" s="131">
        <v>44196</v>
      </c>
    </row>
    <row r="4" spans="1:5" x14ac:dyDescent="0.2">
      <c r="A4" s="80"/>
      <c r="B4" s="85"/>
      <c r="C4" s="133"/>
      <c r="D4" s="81"/>
      <c r="E4" s="82"/>
    </row>
    <row r="5" spans="1:5" x14ac:dyDescent="0.2">
      <c r="A5" s="42" t="s">
        <v>197</v>
      </c>
      <c r="B5" s="64" t="s">
        <v>117</v>
      </c>
      <c r="C5" s="43">
        <v>365</v>
      </c>
      <c r="D5" s="43">
        <f>31+30+31+273</f>
        <v>365</v>
      </c>
      <c r="E5" s="44">
        <v>365</v>
      </c>
    </row>
    <row r="6" spans="1:5" x14ac:dyDescent="0.2">
      <c r="A6" s="138" t="s">
        <v>185</v>
      </c>
      <c r="B6" s="139" t="s">
        <v>214</v>
      </c>
      <c r="C6" s="140">
        <f>+(Grunnlagstall!F24+Grunnlagstall!J24)/2</f>
        <v>21408829.773985017</v>
      </c>
      <c r="D6" s="140">
        <f>+(Grunnlagstall!J24+Grunnlagstall!N24)/2</f>
        <v>19750591.846355014</v>
      </c>
      <c r="E6" s="143">
        <f>+(Grunnlagstall!N24+Grunnlagstall!R24)/2</f>
        <v>17861636.146355014</v>
      </c>
    </row>
    <row r="7" spans="1:5" x14ac:dyDescent="0.2">
      <c r="A7" s="45" t="s">
        <v>196</v>
      </c>
      <c r="B7" s="65" t="s">
        <v>119</v>
      </c>
      <c r="C7" s="46">
        <f>+Grunnlagstall!F27</f>
        <v>90</v>
      </c>
      <c r="D7" s="46">
        <f>+Grunnlagstall!J27</f>
        <v>89</v>
      </c>
      <c r="E7" s="47">
        <f>+Grunnlagstall!K27</f>
        <v>90</v>
      </c>
    </row>
    <row r="8" spans="1:5" x14ac:dyDescent="0.2">
      <c r="A8" s="45"/>
      <c r="B8" s="65"/>
      <c r="C8" s="132"/>
      <c r="D8" s="46"/>
      <c r="E8" s="47"/>
    </row>
    <row r="9" spans="1:5" x14ac:dyDescent="0.2">
      <c r="A9" s="48" t="s">
        <v>192</v>
      </c>
      <c r="B9" s="66" t="s">
        <v>120</v>
      </c>
      <c r="C9" s="49">
        <f>+Grunnlagstall!F44</f>
        <v>417285.0513899934</v>
      </c>
      <c r="D9" s="49">
        <f>+Grunnlagstall!J44</f>
        <v>346461</v>
      </c>
      <c r="E9" s="50">
        <f>+Grunnlagstall!N44</f>
        <v>322559</v>
      </c>
    </row>
    <row r="10" spans="1:5" x14ac:dyDescent="0.2">
      <c r="A10" s="48" t="s">
        <v>195</v>
      </c>
      <c r="B10" s="67" t="s">
        <v>121</v>
      </c>
      <c r="C10" s="51">
        <f>+C9*365/C$5/C$6</f>
        <v>1.9491259251220642E-2</v>
      </c>
      <c r="D10" s="51">
        <f t="shared" ref="D10:E10" si="0">+D9*365/D$5/D$6</f>
        <v>1.7541803440383464E-2</v>
      </c>
      <c r="E10" s="52">
        <f t="shared" si="0"/>
        <v>1.8058759979041668E-2</v>
      </c>
    </row>
    <row r="11" spans="1:5" x14ac:dyDescent="0.2">
      <c r="A11" s="45"/>
      <c r="B11" s="65"/>
      <c r="C11" s="132"/>
      <c r="D11" s="43"/>
      <c r="E11" s="44"/>
    </row>
    <row r="12" spans="1:5" x14ac:dyDescent="0.2">
      <c r="A12" s="45" t="s">
        <v>90</v>
      </c>
      <c r="B12" s="65" t="s">
        <v>123</v>
      </c>
      <c r="C12" s="46">
        <f>+Grunnlagstall!F45</f>
        <v>104104.36939000005</v>
      </c>
      <c r="D12" s="46">
        <f>+Grunnlagstall!J45</f>
        <v>115554</v>
      </c>
      <c r="E12" s="47">
        <f>+Grunnlagstall!N45</f>
        <v>104251</v>
      </c>
    </row>
    <row r="13" spans="1:5" x14ac:dyDescent="0.2">
      <c r="A13" s="45" t="s">
        <v>73</v>
      </c>
      <c r="B13" s="68" t="s">
        <v>125</v>
      </c>
      <c r="C13" s="53">
        <f>+C12*365/C$5/C$6</f>
        <v>4.8626837846365003E-3</v>
      </c>
      <c r="D13" s="53">
        <f t="shared" ref="D13:E13" si="1">+D12*365/D$5/D$6</f>
        <v>5.850660116867616E-3</v>
      </c>
      <c r="E13" s="54">
        <f t="shared" si="1"/>
        <v>5.8365873733954811E-3</v>
      </c>
    </row>
    <row r="14" spans="1:5" x14ac:dyDescent="0.2">
      <c r="A14" s="45"/>
      <c r="B14" s="65"/>
      <c r="C14" s="43"/>
      <c r="D14" s="43"/>
      <c r="E14" s="44"/>
    </row>
    <row r="15" spans="1:5" x14ac:dyDescent="0.2">
      <c r="A15" s="48" t="s">
        <v>91</v>
      </c>
      <c r="B15" s="66" t="s">
        <v>124</v>
      </c>
      <c r="C15" s="49">
        <f>+Grunnlagstall!F46</f>
        <v>192748.56657000002</v>
      </c>
      <c r="D15" s="49">
        <f>+Grunnlagstall!J46</f>
        <v>192907</v>
      </c>
      <c r="E15" s="50">
        <f>+Grunnlagstall!N46</f>
        <v>173061</v>
      </c>
    </row>
    <row r="16" spans="1:5" x14ac:dyDescent="0.2">
      <c r="A16" s="48" t="s">
        <v>74</v>
      </c>
      <c r="B16" s="67" t="s">
        <v>126</v>
      </c>
      <c r="C16" s="51">
        <f>+C15*365/C$5/C$6</f>
        <v>9.0032275750176159E-3</v>
      </c>
      <c r="D16" s="51">
        <f t="shared" ref="D16:E16" si="2">+D15*365/D$5/D$6</f>
        <v>9.7671503467173879E-3</v>
      </c>
      <c r="E16" s="52">
        <f t="shared" si="2"/>
        <v>9.6889780186971385E-3</v>
      </c>
    </row>
    <row r="17" spans="1:5" x14ac:dyDescent="0.2">
      <c r="A17" s="45"/>
      <c r="B17" s="65"/>
      <c r="C17" s="43"/>
      <c r="D17" s="43"/>
      <c r="E17" s="44"/>
    </row>
    <row r="18" spans="1:5" x14ac:dyDescent="0.2">
      <c r="A18" s="45"/>
      <c r="B18" s="65"/>
      <c r="C18" s="43"/>
      <c r="D18" s="43"/>
      <c r="E18" s="44"/>
    </row>
    <row r="19" spans="1:5" x14ac:dyDescent="0.2">
      <c r="A19" s="45" t="str">
        <f>+Grunnlagstall!A6</f>
        <v>Driftsresultat før tap og nedskrivninger</v>
      </c>
      <c r="B19" s="65" t="s">
        <v>133</v>
      </c>
      <c r="C19" s="46">
        <f>+Grunnlagstall!F47</f>
        <v>328640.85420999344</v>
      </c>
      <c r="D19" s="46">
        <f>+Grunnlagstall!J47</f>
        <v>269109</v>
      </c>
      <c r="E19" s="47">
        <f>+Grunnlagstall!K47</f>
        <v>194247</v>
      </c>
    </row>
    <row r="20" spans="1:5" x14ac:dyDescent="0.2">
      <c r="A20" s="45" t="s">
        <v>131</v>
      </c>
      <c r="B20" s="68" t="s">
        <v>215</v>
      </c>
      <c r="C20" s="53">
        <f>+C19*365/C$5/C$6</f>
        <v>1.5350715460839529E-2</v>
      </c>
      <c r="D20" s="53">
        <f t="shared" ref="D20:E20" si="3">+D19*365/D$5/D$6</f>
        <v>1.3625363841927819E-2</v>
      </c>
      <c r="E20" s="54">
        <f t="shared" si="3"/>
        <v>1.0875095562823877E-2</v>
      </c>
    </row>
    <row r="21" spans="1:5" x14ac:dyDescent="0.2">
      <c r="A21" s="45"/>
      <c r="B21" s="65"/>
      <c r="C21" s="43"/>
      <c r="D21" s="43"/>
      <c r="E21" s="44"/>
    </row>
    <row r="22" spans="1:5" x14ac:dyDescent="0.2">
      <c r="A22" s="71" t="str">
        <f>+Grunnlagstall!A10</f>
        <v>Resultat av ordinær drift etter skatt</v>
      </c>
      <c r="B22" s="66" t="s">
        <v>135</v>
      </c>
      <c r="C22" s="49">
        <f>+Grunnlagstall!F51</f>
        <v>244619</v>
      </c>
      <c r="D22" s="49">
        <f>+Grunnlagstall!J51</f>
        <v>209500</v>
      </c>
      <c r="E22" s="50">
        <f>+Grunnlagstall!N51</f>
        <v>179953</v>
      </c>
    </row>
    <row r="23" spans="1:5" x14ac:dyDescent="0.2">
      <c r="A23" s="71" t="s">
        <v>136</v>
      </c>
      <c r="B23" s="66" t="s">
        <v>137</v>
      </c>
      <c r="C23" s="49">
        <f>+Grunnlagstall!F56</f>
        <v>6839</v>
      </c>
      <c r="D23" s="49">
        <f>+Grunnlagstall!J56</f>
        <v>5533</v>
      </c>
      <c r="E23" s="50">
        <f>+Grunnlagstall!N56</f>
        <v>6447</v>
      </c>
    </row>
    <row r="24" spans="1:5" x14ac:dyDescent="0.2">
      <c r="A24" s="71" t="s">
        <v>138</v>
      </c>
      <c r="B24" s="67" t="s">
        <v>140</v>
      </c>
      <c r="C24" s="49">
        <f>+C22-C23</f>
        <v>237780</v>
      </c>
      <c r="D24" s="49">
        <f>+D22-D23</f>
        <v>203967</v>
      </c>
      <c r="E24" s="50">
        <f t="shared" ref="E24" si="4">+E22-E23</f>
        <v>173506</v>
      </c>
    </row>
    <row r="25" spans="1:5" x14ac:dyDescent="0.2">
      <c r="A25" s="141" t="s">
        <v>105</v>
      </c>
      <c r="B25" s="139" t="s">
        <v>214</v>
      </c>
      <c r="C25" s="140">
        <f>+(Grunnlagstall!F23+Grunnlagstall!J23)/2</f>
        <v>2337128.7069800049</v>
      </c>
      <c r="D25" s="140">
        <f>+(Grunnlagstall!J23+Grunnlagstall!N23)/2</f>
        <v>2111719.0300500058</v>
      </c>
      <c r="E25" s="143">
        <f>+(Grunnlagstall!N23+Grunnlagstall!R23)/2</f>
        <v>1969913.1735900012</v>
      </c>
    </row>
    <row r="26" spans="1:5" x14ac:dyDescent="0.2">
      <c r="A26" s="141" t="s">
        <v>139</v>
      </c>
      <c r="B26" s="139" t="s">
        <v>214</v>
      </c>
      <c r="C26" s="140">
        <f>+(Grunnlagstall!F30+Grunnlagstall!J30)/2</f>
        <v>125000</v>
      </c>
      <c r="D26" s="140">
        <f>+(Grunnlagstall!J30+Grunnlagstall!M30)/2</f>
        <v>134000</v>
      </c>
      <c r="E26" s="143">
        <f>+Grunnlagstall!M30</f>
        <v>143000</v>
      </c>
    </row>
    <row r="27" spans="1:5" x14ac:dyDescent="0.2">
      <c r="A27" s="71" t="s">
        <v>143</v>
      </c>
      <c r="B27" s="67" t="s">
        <v>144</v>
      </c>
      <c r="C27" s="49">
        <f>+C25-C26</f>
        <v>2212128.7069800049</v>
      </c>
      <c r="D27" s="49">
        <f t="shared" ref="D27:E27" si="5">+D25-D26</f>
        <v>1977719.0300500058</v>
      </c>
      <c r="E27" s="50">
        <f t="shared" si="5"/>
        <v>1826913.1735900012</v>
      </c>
    </row>
    <row r="28" spans="1:5" x14ac:dyDescent="0.2">
      <c r="A28" s="71" t="s">
        <v>77</v>
      </c>
      <c r="B28" s="67" t="s">
        <v>145</v>
      </c>
      <c r="C28" s="72">
        <f>+(C24*365/C5)/C27</f>
        <v>0.10748922485826647</v>
      </c>
      <c r="D28" s="72">
        <f>+(D24*365/D5)/D27</f>
        <v>0.10313244545907149</v>
      </c>
      <c r="E28" s="73">
        <f>+(E24*365/E5)/E27</f>
        <v>9.4972220085889264E-2</v>
      </c>
    </row>
    <row r="29" spans="1:5" x14ac:dyDescent="0.2">
      <c r="A29" s="45"/>
      <c r="B29" s="65"/>
      <c r="C29" s="43"/>
      <c r="D29" s="43"/>
      <c r="E29" s="44"/>
    </row>
    <row r="30" spans="1:5" x14ac:dyDescent="0.2">
      <c r="A30" s="42" t="s">
        <v>96</v>
      </c>
      <c r="B30" s="65" t="s">
        <v>135</v>
      </c>
      <c r="C30" s="46">
        <f>+Grunnlagstall!F51</f>
        <v>244619</v>
      </c>
      <c r="D30" s="46">
        <f>+Grunnlagstall!J51</f>
        <v>209500</v>
      </c>
      <c r="E30" s="47">
        <f>+Grunnlagstall!N51</f>
        <v>179953</v>
      </c>
    </row>
    <row r="31" spans="1:5" x14ac:dyDescent="0.2">
      <c r="A31" s="141" t="s">
        <v>105</v>
      </c>
      <c r="B31" s="139" t="s">
        <v>214</v>
      </c>
      <c r="C31" s="140">
        <f>+C25</f>
        <v>2337128.7069800049</v>
      </c>
      <c r="D31" s="140">
        <f t="shared" ref="D31:E31" si="6">+D25</f>
        <v>2111719.0300500058</v>
      </c>
      <c r="E31" s="143">
        <f t="shared" si="6"/>
        <v>1969913.1735900012</v>
      </c>
    </row>
    <row r="32" spans="1:5" x14ac:dyDescent="0.2">
      <c r="A32" s="42" t="s">
        <v>78</v>
      </c>
      <c r="B32" s="68" t="s">
        <v>146</v>
      </c>
      <c r="C32" s="53">
        <f>+(C30*365/C5)/C31</f>
        <v>0.10466646499588472</v>
      </c>
      <c r="D32" s="53">
        <f>+(D30*365/D5)/D31</f>
        <v>9.9208273931707197E-2</v>
      </c>
      <c r="E32" s="54">
        <f>+(E30*365/E5)/E31</f>
        <v>9.1350726728757686E-2</v>
      </c>
    </row>
    <row r="33" spans="1:5" x14ac:dyDescent="0.2">
      <c r="A33" s="42"/>
      <c r="B33" s="65"/>
      <c r="C33" s="43"/>
      <c r="D33" s="43"/>
      <c r="E33" s="44"/>
    </row>
    <row r="34" spans="1:5" ht="13.5" thickBot="1" x14ac:dyDescent="0.25">
      <c r="A34" s="144" t="s">
        <v>218</v>
      </c>
      <c r="B34" s="145"/>
      <c r="C34" s="145"/>
      <c r="D34" s="146"/>
      <c r="E34" s="147"/>
    </row>
  </sheetData>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4" ma:contentTypeDescription="Opprett et nytt dokument." ma:contentTypeScope="" ma:versionID="21ef120a6aa86fd805d05734cf7dcb72">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23ee5cff55ae509133ed886ddb719c51"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Props1.xml><?xml version="1.0" encoding="utf-8"?>
<ds:datastoreItem xmlns:ds="http://schemas.openxmlformats.org/officeDocument/2006/customXml" ds:itemID="{E6152AB3-7F3C-465E-B0DE-E1813F3A1F76}">
  <ds:schemaRefs>
    <ds:schemaRef ds:uri="http://schemas.microsoft.com/sharepoint/v3/contenttype/forms"/>
  </ds:schemaRefs>
</ds:datastoreItem>
</file>

<file path=customXml/itemProps2.xml><?xml version="1.0" encoding="utf-8"?>
<ds:datastoreItem xmlns:ds="http://schemas.openxmlformats.org/officeDocument/2006/customXml" ds:itemID="{1192C31F-BBC3-427C-B1B3-22B5DBA3A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BB18B5E-40F9-45AC-840E-4091580407D5}">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Definsjoner</vt:lpstr>
      <vt:lpstr>Avsteming nøkkeltall kvartal</vt:lpstr>
      <vt:lpstr>Utregninger hittil i år</vt:lpstr>
      <vt:lpstr>Grunnlagstall</vt:lpstr>
      <vt:lpstr>Utregninger år samgrl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Evensen Erik E.(Totens Sparebank)</dc:creator>
  <cp:lastModifiedBy>Evensen Erik E.(Totens Sparebank)</cp:lastModifiedBy>
  <cp:lastPrinted>2022-09-26T10:55:18Z</cp:lastPrinted>
  <dcterms:created xsi:type="dcterms:W3CDTF">2019-05-22T07:51:30Z</dcterms:created>
  <dcterms:modified xsi:type="dcterms:W3CDTF">2023-10-19T13:50:41Z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Order">
    <vt:r8>100</vt:r8>
  </property>
  <property fmtid="{D5CDD505-2E9C-101B-9397-08002B2CF9AE}" pid="4" name="MediaServiceImageTags">
    <vt:lpwstr/>
  </property>
</Properties>
</file>