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eikaalliansen.sharepoint.com/sites/felles-pi2050/Administrasjon/Økonomi/Regnskap/Regn2024/"/>
    </mc:Choice>
  </mc:AlternateContent>
  <xr:revisionPtr revIDLastSave="0" documentId="8_{5F0B0F16-7742-444D-B180-BB11D55F7D3D}" xr6:coauthVersionLast="47" xr6:coauthVersionMax="47" xr10:uidLastSave="{00000000-0000-0000-0000-000000000000}"/>
  <bookViews>
    <workbookView xWindow="-28920" yWindow="-60" windowWidth="29040" windowHeight="15840" activeTab="3" xr2:uid="{5DF9225B-B361-462A-820B-1395D2B910E4}"/>
  </bookViews>
  <sheets>
    <sheet name="Definsjoner" sheetId="1" r:id="rId1"/>
    <sheet name="Avsteming nøkkeltall kvartal" sheetId="2" r:id="rId2"/>
    <sheet name="Utregninger hittil i år" sheetId="4" r:id="rId3"/>
    <sheet name="Grunnlagstall" sheetId="3" r:id="rId4"/>
    <sheet name="Utregninger år samgrl"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2" l="1"/>
  <c r="C100" i="2"/>
  <c r="C99" i="2"/>
  <c r="C87" i="2"/>
  <c r="C91" i="2" s="1"/>
  <c r="C83" i="2"/>
  <c r="C80" i="2"/>
  <c r="C77" i="2"/>
  <c r="C84" i="2" s="1"/>
  <c r="C50" i="4" s="1"/>
  <c r="C76" i="2"/>
  <c r="C75" i="2"/>
  <c r="C74" i="2"/>
  <c r="C78" i="2" s="1"/>
  <c r="C92" i="2" s="1"/>
  <c r="C71" i="2"/>
  <c r="C70" i="2"/>
  <c r="C66" i="2"/>
  <c r="C65" i="2"/>
  <c r="C96" i="2" s="1"/>
  <c r="C64" i="2"/>
  <c r="C63" i="2"/>
  <c r="C59" i="2"/>
  <c r="C54" i="2"/>
  <c r="C50" i="2"/>
  <c r="C49" i="2"/>
  <c r="C58" i="2" s="1"/>
  <c r="C60" i="2" s="1"/>
  <c r="C61" i="2" s="1"/>
  <c r="C45" i="2"/>
  <c r="C95" i="2" s="1"/>
  <c r="C42" i="2"/>
  <c r="C41" i="2"/>
  <c r="C37" i="2"/>
  <c r="C36" i="2"/>
  <c r="C38" i="2" s="1"/>
  <c r="C34" i="2"/>
  <c r="C81" i="2" s="1"/>
  <c r="C33" i="2"/>
  <c r="C35" i="2" s="1"/>
  <c r="C30" i="2"/>
  <c r="C31" i="2" s="1"/>
  <c r="C26" i="2"/>
  <c r="C25" i="2"/>
  <c r="C24" i="2"/>
  <c r="C27" i="2" s="1"/>
  <c r="C23" i="2"/>
  <c r="C20" i="2"/>
  <c r="C19" i="2"/>
  <c r="C18" i="2"/>
  <c r="C14" i="2"/>
  <c r="C17" i="2" s="1"/>
  <c r="C11" i="2"/>
  <c r="C12" i="2" s="1"/>
  <c r="C8" i="2"/>
  <c r="C9" i="2" s="1"/>
  <c r="C6" i="2"/>
  <c r="C46" i="2" s="1"/>
  <c r="C3" i="2"/>
  <c r="C10" i="4"/>
  <c r="C5" i="4"/>
  <c r="C6" i="4"/>
  <c r="C7" i="4"/>
  <c r="C9" i="4"/>
  <c r="C12" i="4"/>
  <c r="C15" i="4"/>
  <c r="C18" i="4"/>
  <c r="C22" i="4" s="1"/>
  <c r="C19" i="4"/>
  <c r="C20" i="4"/>
  <c r="C21" i="4"/>
  <c r="C24" i="4"/>
  <c r="C25" i="4"/>
  <c r="C28" i="4" s="1"/>
  <c r="C26" i="4"/>
  <c r="C27" i="4"/>
  <c r="C31" i="4"/>
  <c r="C34" i="4"/>
  <c r="C35" i="4"/>
  <c r="C36" i="4"/>
  <c r="C37" i="4"/>
  <c r="C39" i="4" s="1"/>
  <c r="C38" i="4"/>
  <c r="C42" i="4"/>
  <c r="C43" i="4"/>
  <c r="C46" i="4"/>
  <c r="C48" i="4" s="1"/>
  <c r="C47" i="4"/>
  <c r="C49" i="4"/>
  <c r="C32" i="4" l="1"/>
  <c r="C29" i="4"/>
  <c r="C51" i="2"/>
  <c r="C72" i="2"/>
  <c r="C43" i="2"/>
  <c r="C39" i="2"/>
  <c r="C47" i="2"/>
  <c r="C21" i="2"/>
  <c r="C28" i="2"/>
  <c r="C101" i="2"/>
  <c r="C67" i="2"/>
  <c r="C68" i="2" s="1"/>
  <c r="C82" i="2"/>
  <c r="C85" i="2" s="1"/>
  <c r="C97" i="2"/>
  <c r="C93" i="2"/>
  <c r="C53" i="2"/>
  <c r="C55" i="2" s="1"/>
  <c r="C56" i="2" s="1"/>
  <c r="C51" i="4"/>
  <c r="C88" i="2" s="1"/>
  <c r="C89" i="2" s="1"/>
  <c r="C15" i="2"/>
  <c r="C44" i="4"/>
  <c r="C16" i="4"/>
  <c r="C13" i="4"/>
  <c r="C40" i="4"/>
  <c r="D5" i="4" l="1"/>
  <c r="D6" i="4"/>
  <c r="D7" i="4"/>
  <c r="D9" i="4"/>
  <c r="D10" i="4"/>
  <c r="D12" i="4"/>
  <c r="D15" i="4"/>
  <c r="D18" i="4"/>
  <c r="D19" i="4"/>
  <c r="D21" i="4" s="1"/>
  <c r="D20" i="4"/>
  <c r="D24" i="4"/>
  <c r="D25" i="4"/>
  <c r="D26" i="4"/>
  <c r="D27" i="4"/>
  <c r="D31" i="4"/>
  <c r="D34" i="4"/>
  <c r="D36" i="4" s="1"/>
  <c r="D35" i="4"/>
  <c r="D37" i="4"/>
  <c r="D38" i="4"/>
  <c r="D39" i="4" s="1"/>
  <c r="D42" i="4"/>
  <c r="D43" i="4"/>
  <c r="D46" i="4"/>
  <c r="D48" i="4" s="1"/>
  <c r="D47" i="4"/>
  <c r="D33" i="2"/>
  <c r="D34" i="2"/>
  <c r="D81" i="2" s="1"/>
  <c r="D36" i="2"/>
  <c r="D37" i="2"/>
  <c r="D41" i="2"/>
  <c r="D42" i="2"/>
  <c r="D45" i="2"/>
  <c r="D49" i="2"/>
  <c r="D58" i="2" s="1"/>
  <c r="D60" i="2" s="1"/>
  <c r="D61" i="2" s="1"/>
  <c r="D50" i="2"/>
  <c r="D53" i="2" s="1"/>
  <c r="D54" i="2"/>
  <c r="D59" i="2"/>
  <c r="D63" i="2"/>
  <c r="D64" i="2"/>
  <c r="D65" i="2"/>
  <c r="D96" i="2" s="1"/>
  <c r="D66" i="2"/>
  <c r="D70" i="2"/>
  <c r="D71" i="2"/>
  <c r="D74" i="2"/>
  <c r="D75" i="2"/>
  <c r="D76" i="2"/>
  <c r="D83" i="2" s="1"/>
  <c r="D49" i="4" s="1"/>
  <c r="D77" i="2"/>
  <c r="D84" i="2" s="1"/>
  <c r="D50" i="4" s="1"/>
  <c r="D80" i="2"/>
  <c r="D87" i="2"/>
  <c r="D91" i="2" s="1"/>
  <c r="D95" i="2"/>
  <c r="D99" i="2"/>
  <c r="D100" i="2"/>
  <c r="D30" i="2"/>
  <c r="D23" i="2"/>
  <c r="D24" i="2"/>
  <c r="D27" i="2" s="1"/>
  <c r="D25" i="2"/>
  <c r="D26" i="2"/>
  <c r="D18" i="2"/>
  <c r="D19" i="2"/>
  <c r="D20" i="2"/>
  <c r="D14" i="2"/>
  <c r="D15" i="2" s="1"/>
  <c r="D11" i="2"/>
  <c r="D12" i="2" s="1"/>
  <c r="D8" i="2"/>
  <c r="D9" i="2" s="1"/>
  <c r="D3" i="2"/>
  <c r="E3" i="2"/>
  <c r="D6" i="2"/>
  <c r="D46" i="2" s="1"/>
  <c r="D47" i="2" s="1"/>
  <c r="D5" i="2"/>
  <c r="D97" i="2" l="1"/>
  <c r="D101" i="2"/>
  <c r="D67" i="2"/>
  <c r="D68" i="2" s="1"/>
  <c r="D28" i="4"/>
  <c r="D51" i="2"/>
  <c r="D38" i="2"/>
  <c r="D55" i="2"/>
  <c r="D56" i="2" s="1"/>
  <c r="D22" i="4"/>
  <c r="D16" i="4"/>
  <c r="D29" i="4"/>
  <c r="D28" i="2"/>
  <c r="D31" i="2"/>
  <c r="D72" i="2"/>
  <c r="D43" i="2"/>
  <c r="D51" i="4"/>
  <c r="D88" i="2" s="1"/>
  <c r="D89" i="2" s="1"/>
  <c r="D35" i="2"/>
  <c r="D39" i="2" s="1"/>
  <c r="D17" i="2"/>
  <c r="D21" i="2" s="1"/>
  <c r="D82" i="2"/>
  <c r="D85" i="2" s="1"/>
  <c r="D32" i="4"/>
  <c r="D44" i="4"/>
  <c r="D13" i="4"/>
  <c r="D40" i="4"/>
  <c r="D78" i="2"/>
  <c r="D92" i="2" s="1"/>
  <c r="D93" i="2" s="1"/>
  <c r="E4" i="2" l="1"/>
  <c r="E5" i="2"/>
  <c r="E6" i="2"/>
  <c r="E8" i="2"/>
  <c r="E9" i="2" s="1"/>
  <c r="E11" i="2"/>
  <c r="E12" i="2" s="1"/>
  <c r="E14" i="2"/>
  <c r="E15" i="2" s="1"/>
  <c r="E18" i="2"/>
  <c r="E19" i="2"/>
  <c r="E23" i="2"/>
  <c r="E24" i="2"/>
  <c r="E25" i="2"/>
  <c r="E26" i="2"/>
  <c r="E30" i="2"/>
  <c r="E31" i="2" s="1"/>
  <c r="E33" i="2"/>
  <c r="E35" i="2" s="1"/>
  <c r="E34" i="2"/>
  <c r="E81" i="2" s="1"/>
  <c r="E36" i="2"/>
  <c r="E38" i="2" s="1"/>
  <c r="E37" i="2"/>
  <c r="E41" i="2"/>
  <c r="E42" i="2"/>
  <c r="E45" i="2"/>
  <c r="E46" i="2"/>
  <c r="E49" i="2"/>
  <c r="E58" i="2" s="1"/>
  <c r="E50" i="2"/>
  <c r="E53" i="2" s="1"/>
  <c r="E54" i="2"/>
  <c r="E59" i="2"/>
  <c r="E63" i="2"/>
  <c r="E64" i="2"/>
  <c r="E65" i="2"/>
  <c r="E96" i="2" s="1"/>
  <c r="E66" i="2"/>
  <c r="E70" i="2"/>
  <c r="E72" i="2" s="1"/>
  <c r="E71" i="2"/>
  <c r="E74" i="2"/>
  <c r="E75" i="2"/>
  <c r="E76" i="2"/>
  <c r="E83" i="2" s="1"/>
  <c r="E49" i="4" s="1"/>
  <c r="E77" i="2"/>
  <c r="E84" i="2" s="1"/>
  <c r="E50" i="4" s="1"/>
  <c r="E80" i="2"/>
  <c r="E87" i="2"/>
  <c r="E95" i="2"/>
  <c r="E99" i="2"/>
  <c r="E100" i="2"/>
  <c r="E46" i="4"/>
  <c r="E47" i="4"/>
  <c r="E42" i="4"/>
  <c r="E43" i="4"/>
  <c r="E34" i="4"/>
  <c r="E35" i="4"/>
  <c r="E37" i="4"/>
  <c r="E38" i="4"/>
  <c r="E31" i="4"/>
  <c r="E24" i="4"/>
  <c r="E25" i="4"/>
  <c r="E26" i="4"/>
  <c r="E27" i="4"/>
  <c r="E18" i="4"/>
  <c r="E19" i="4"/>
  <c r="E20" i="4"/>
  <c r="E15" i="4"/>
  <c r="E12" i="4"/>
  <c r="E9" i="4"/>
  <c r="E7" i="4"/>
  <c r="E6" i="4"/>
  <c r="E5" i="4"/>
  <c r="E39" i="4" l="1"/>
  <c r="E21" i="4"/>
  <c r="E22" i="4" s="1"/>
  <c r="E10" i="4"/>
  <c r="E32" i="4"/>
  <c r="E48" i="4"/>
  <c r="E60" i="2"/>
  <c r="E61" i="2" s="1"/>
  <c r="E47" i="2"/>
  <c r="E39" i="2"/>
  <c r="E97" i="2"/>
  <c r="E13" i="4"/>
  <c r="E44" i="4"/>
  <c r="E43" i="2"/>
  <c r="E27" i="2"/>
  <c r="E28" i="2" s="1"/>
  <c r="E55" i="2"/>
  <c r="E56" i="2" s="1"/>
  <c r="E82" i="2"/>
  <c r="E20" i="2"/>
  <c r="E28" i="4"/>
  <c r="E29" i="4" s="1"/>
  <c r="E36" i="4"/>
  <c r="E40" i="4" s="1"/>
  <c r="E16" i="4"/>
  <c r="E101" i="2"/>
  <c r="E67" i="2"/>
  <c r="E68" i="2" s="1"/>
  <c r="E78" i="2"/>
  <c r="E92" i="2" s="1"/>
  <c r="E51" i="4"/>
  <c r="E88" i="2" s="1"/>
  <c r="E89" i="2" s="1"/>
  <c r="E85" i="2"/>
  <c r="E91" i="2"/>
  <c r="E51" i="2"/>
  <c r="E17" i="2"/>
  <c r="E21" i="2" l="1"/>
  <c r="E93" i="2"/>
  <c r="F5" i="2"/>
  <c r="F6" i="2"/>
  <c r="F46" i="2" s="1"/>
  <c r="F8" i="2"/>
  <c r="F11" i="2"/>
  <c r="F14" i="2"/>
  <c r="F17" i="2" s="1"/>
  <c r="F18" i="2"/>
  <c r="F20" i="2" s="1"/>
  <c r="F19" i="2"/>
  <c r="F23" i="2"/>
  <c r="F24" i="2"/>
  <c r="F25" i="2"/>
  <c r="F26" i="2"/>
  <c r="F30" i="2"/>
  <c r="F31" i="2" s="1"/>
  <c r="F33" i="2"/>
  <c r="F36" i="2"/>
  <c r="F37" i="2"/>
  <c r="F41" i="2"/>
  <c r="F42" i="2"/>
  <c r="F45" i="2"/>
  <c r="F95" i="2" s="1"/>
  <c r="F49" i="2"/>
  <c r="F58" i="2" s="1"/>
  <c r="F50" i="2"/>
  <c r="F53" i="2" s="1"/>
  <c r="F54" i="2"/>
  <c r="F59" i="2"/>
  <c r="F63" i="2"/>
  <c r="F64" i="2"/>
  <c r="F65" i="2"/>
  <c r="F66" i="2"/>
  <c r="F70" i="2"/>
  <c r="F71" i="2"/>
  <c r="F74" i="2"/>
  <c r="F75" i="2"/>
  <c r="F76" i="2"/>
  <c r="F83" i="2" s="1"/>
  <c r="F49" i="4" s="1"/>
  <c r="F77" i="2"/>
  <c r="F84" i="2" s="1"/>
  <c r="F50" i="4" s="1"/>
  <c r="F80" i="2"/>
  <c r="F87" i="2"/>
  <c r="F96" i="2"/>
  <c r="F99" i="2"/>
  <c r="F100" i="2"/>
  <c r="F3" i="2"/>
  <c r="F4" i="2"/>
  <c r="F15" i="4"/>
  <c r="F18" i="4"/>
  <c r="F19" i="4"/>
  <c r="F20" i="4"/>
  <c r="F21" i="4" s="1"/>
  <c r="F24" i="4"/>
  <c r="F25" i="4"/>
  <c r="F26" i="4"/>
  <c r="F27" i="4"/>
  <c r="F31" i="4"/>
  <c r="F35" i="4"/>
  <c r="F37" i="4"/>
  <c r="F38" i="4"/>
  <c r="F43" i="4"/>
  <c r="F47" i="4"/>
  <c r="F12" i="4"/>
  <c r="F9" i="4"/>
  <c r="F6" i="4"/>
  <c r="F7" i="4"/>
  <c r="F49" i="3"/>
  <c r="F51" i="3" s="1"/>
  <c r="F101" i="2" l="1"/>
  <c r="F16" i="4"/>
  <c r="F10" i="4"/>
  <c r="F38" i="2"/>
  <c r="F21" i="2"/>
  <c r="F72" i="2"/>
  <c r="F39" i="4"/>
  <c r="F60" i="2"/>
  <c r="F61" i="2" s="1"/>
  <c r="F97" i="2"/>
  <c r="F9" i="2"/>
  <c r="F67" i="2"/>
  <c r="F68" i="2" s="1"/>
  <c r="F27" i="2"/>
  <c r="F28" i="2" s="1"/>
  <c r="F34" i="4"/>
  <c r="F36" i="4" s="1"/>
  <c r="F42" i="4"/>
  <c r="F44" i="4" s="1"/>
  <c r="F46" i="4"/>
  <c r="F48" i="4" s="1"/>
  <c r="F51" i="4" s="1"/>
  <c r="F88" i="2" s="1"/>
  <c r="F89" i="2" s="1"/>
  <c r="F12" i="2"/>
  <c r="F32" i="4"/>
  <c r="F28" i="4"/>
  <c r="F29" i="4" s="1"/>
  <c r="F91" i="2"/>
  <c r="F43" i="2"/>
  <c r="F47" i="2"/>
  <c r="F15" i="2"/>
  <c r="F51" i="2"/>
  <c r="F13" i="4"/>
  <c r="F78" i="2"/>
  <c r="F92" i="2" s="1"/>
  <c r="F55" i="2"/>
  <c r="F56" i="2" s="1"/>
  <c r="F22" i="4"/>
  <c r="F93" i="2" l="1"/>
  <c r="F40" i="4"/>
  <c r="F15" i="3"/>
  <c r="F34" i="2" s="1"/>
  <c r="G87" i="2"/>
  <c r="G6" i="4"/>
  <c r="G7" i="4"/>
  <c r="G9" i="4"/>
  <c r="G12" i="4"/>
  <c r="G15" i="4"/>
  <c r="G18" i="4"/>
  <c r="G19" i="4"/>
  <c r="G20" i="4"/>
  <c r="G24" i="4"/>
  <c r="G25" i="4"/>
  <c r="G26" i="4"/>
  <c r="G27" i="4"/>
  <c r="G31" i="4"/>
  <c r="G34" i="4"/>
  <c r="G35" i="4"/>
  <c r="G37" i="4"/>
  <c r="G42" i="4"/>
  <c r="G43" i="4"/>
  <c r="G46" i="4"/>
  <c r="G47" i="4"/>
  <c r="G5" i="4"/>
  <c r="G5" i="2"/>
  <c r="G6" i="2"/>
  <c r="G46" i="2" s="1"/>
  <c r="G8" i="2"/>
  <c r="G11" i="2"/>
  <c r="G14" i="2"/>
  <c r="G17" i="2" s="1"/>
  <c r="G18" i="2"/>
  <c r="G19" i="2"/>
  <c r="G23" i="2"/>
  <c r="G24" i="2"/>
  <c r="G25" i="2"/>
  <c r="G26" i="2"/>
  <c r="G30" i="2"/>
  <c r="G33" i="2"/>
  <c r="G36" i="2"/>
  <c r="G41" i="2"/>
  <c r="G42" i="2"/>
  <c r="G45" i="2"/>
  <c r="G95" i="2" s="1"/>
  <c r="G49" i="2"/>
  <c r="G58" i="2" s="1"/>
  <c r="G50" i="2"/>
  <c r="G53" i="2" s="1"/>
  <c r="G54" i="2"/>
  <c r="G59" i="2"/>
  <c r="G63" i="2"/>
  <c r="G64" i="2"/>
  <c r="G65" i="2"/>
  <c r="G96" i="2" s="1"/>
  <c r="G66" i="2"/>
  <c r="G70" i="2"/>
  <c r="G71" i="2"/>
  <c r="G74" i="2"/>
  <c r="G76" i="2"/>
  <c r="G83" i="2" s="1"/>
  <c r="G49" i="4" s="1"/>
  <c r="G80" i="2"/>
  <c r="G91" i="2"/>
  <c r="G99" i="2"/>
  <c r="G100" i="2"/>
  <c r="G4" i="2"/>
  <c r="G3" i="2"/>
  <c r="G60" i="2" l="1"/>
  <c r="G61" i="2" s="1"/>
  <c r="G21" i="4"/>
  <c r="G72" i="2"/>
  <c r="G101" i="2"/>
  <c r="G32" i="4"/>
  <c r="G16" i="4"/>
  <c r="G20" i="2"/>
  <c r="G21" i="2" s="1"/>
  <c r="G55" i="2"/>
  <c r="G56" i="2" s="1"/>
  <c r="G13" i="4"/>
  <c r="G9" i="2"/>
  <c r="G51" i="2"/>
  <c r="G22" i="4"/>
  <c r="F35" i="2"/>
  <c r="F39" i="2" s="1"/>
  <c r="F81" i="2"/>
  <c r="F82" i="2" s="1"/>
  <c r="F85" i="2" s="1"/>
  <c r="G48" i="4"/>
  <c r="G12" i="2"/>
  <c r="G43" i="2"/>
  <c r="G27" i="2"/>
  <c r="G28" i="2" s="1"/>
  <c r="G97" i="2"/>
  <c r="G44" i="4"/>
  <c r="G28" i="4"/>
  <c r="G29" i="4" s="1"/>
  <c r="G36" i="4"/>
  <c r="G10" i="4"/>
  <c r="G31" i="2"/>
  <c r="G15" i="2"/>
  <c r="G47" i="2"/>
  <c r="G67" i="2"/>
  <c r="G68" i="2" s="1"/>
  <c r="G15" i="3" l="1"/>
  <c r="G34" i="2" s="1"/>
  <c r="G81" i="2" l="1"/>
  <c r="G82" i="2" s="1"/>
  <c r="G35" i="2"/>
  <c r="H3" i="2"/>
  <c r="H4" i="2"/>
  <c r="H5" i="2"/>
  <c r="H6" i="2"/>
  <c r="H8" i="2"/>
  <c r="H11" i="2"/>
  <c r="H14" i="2"/>
  <c r="H18" i="2"/>
  <c r="H19" i="2"/>
  <c r="H23" i="2"/>
  <c r="H24" i="2"/>
  <c r="H25" i="2"/>
  <c r="H26" i="2"/>
  <c r="H30" i="2"/>
  <c r="H31" i="2" s="1"/>
  <c r="H33" i="2"/>
  <c r="H34" i="2"/>
  <c r="H81" i="2" s="1"/>
  <c r="H36" i="2"/>
  <c r="H41" i="2"/>
  <c r="H42" i="2"/>
  <c r="H45" i="2"/>
  <c r="H46" i="2"/>
  <c r="H49" i="2"/>
  <c r="H58" i="2" s="1"/>
  <c r="H60" i="2" s="1"/>
  <c r="H61" i="2" s="1"/>
  <c r="H50" i="2"/>
  <c r="H53" i="2" s="1"/>
  <c r="H54" i="2"/>
  <c r="H59" i="2"/>
  <c r="H63" i="2"/>
  <c r="H64" i="2"/>
  <c r="H65" i="2"/>
  <c r="H96" i="2" s="1"/>
  <c r="H66" i="2"/>
  <c r="H70" i="2"/>
  <c r="H71" i="2"/>
  <c r="H74" i="2"/>
  <c r="H76" i="2"/>
  <c r="H83" i="2" s="1"/>
  <c r="H49" i="4" s="1"/>
  <c r="H80" i="2"/>
  <c r="H87" i="2"/>
  <c r="H91" i="2" s="1"/>
  <c r="H95" i="2"/>
  <c r="H99" i="2"/>
  <c r="H100" i="2"/>
  <c r="H12" i="4"/>
  <c r="H15" i="4"/>
  <c r="H18" i="4"/>
  <c r="H19" i="4"/>
  <c r="H20" i="4"/>
  <c r="H21" i="4"/>
  <c r="H24" i="4"/>
  <c r="H25" i="4"/>
  <c r="H26" i="4"/>
  <c r="H27" i="4"/>
  <c r="H31" i="4"/>
  <c r="H34" i="4"/>
  <c r="H37" i="4"/>
  <c r="H42" i="4"/>
  <c r="H43" i="4"/>
  <c r="H46" i="4"/>
  <c r="H9" i="4"/>
  <c r="H5" i="4"/>
  <c r="H6" i="4"/>
  <c r="H7" i="4"/>
  <c r="H56" i="3"/>
  <c r="H35" i="4" s="1"/>
  <c r="H32" i="4" l="1"/>
  <c r="H101" i="2"/>
  <c r="H72" i="2"/>
  <c r="H82" i="2"/>
  <c r="H28" i="4"/>
  <c r="H29" i="4" s="1"/>
  <c r="H16" i="4"/>
  <c r="H97" i="2"/>
  <c r="H20" i="2"/>
  <c r="H22" i="4"/>
  <c r="H47" i="2"/>
  <c r="H44" i="4"/>
  <c r="H15" i="2"/>
  <c r="H43" i="2"/>
  <c r="H36" i="4"/>
  <c r="H10" i="4"/>
  <c r="H47" i="4"/>
  <c r="H48" i="4" s="1"/>
  <c r="H51" i="2"/>
  <c r="H27" i="2"/>
  <c r="H28" i="2" s="1"/>
  <c r="H13" i="4"/>
  <c r="H55" i="2"/>
  <c r="H56" i="2" s="1"/>
  <c r="H35" i="2"/>
  <c r="H67" i="2"/>
  <c r="H68" i="2" s="1"/>
  <c r="H12" i="2"/>
  <c r="H9" i="2"/>
  <c r="H17" i="2"/>
  <c r="H21" i="2" l="1"/>
  <c r="I4" i="2"/>
  <c r="I3" i="2"/>
  <c r="I5" i="2"/>
  <c r="I6" i="2"/>
  <c r="I46" i="2" s="1"/>
  <c r="I8" i="2"/>
  <c r="I11" i="2"/>
  <c r="I14" i="2"/>
  <c r="I17" i="2" s="1"/>
  <c r="I18" i="2"/>
  <c r="I19" i="2"/>
  <c r="I23" i="2"/>
  <c r="I24" i="2"/>
  <c r="I25" i="2"/>
  <c r="I26" i="2"/>
  <c r="I30" i="2"/>
  <c r="I33" i="2"/>
  <c r="I34" i="2"/>
  <c r="I81" i="2" s="1"/>
  <c r="I36" i="2"/>
  <c r="I41" i="2"/>
  <c r="I42" i="2"/>
  <c r="I45" i="2"/>
  <c r="I95" i="2" s="1"/>
  <c r="I49" i="2"/>
  <c r="I58" i="2" s="1"/>
  <c r="I50" i="2"/>
  <c r="I53" i="2" s="1"/>
  <c r="I54" i="2"/>
  <c r="I59" i="2"/>
  <c r="I63" i="2"/>
  <c r="I64" i="2"/>
  <c r="I65" i="2"/>
  <c r="I96" i="2" s="1"/>
  <c r="I66" i="2"/>
  <c r="I70" i="2"/>
  <c r="I71" i="2"/>
  <c r="I74" i="2"/>
  <c r="I76" i="2"/>
  <c r="I83" i="2" s="1"/>
  <c r="I49" i="4" s="1"/>
  <c r="I80" i="2"/>
  <c r="I87" i="2"/>
  <c r="I91" i="2" s="1"/>
  <c r="I99" i="2"/>
  <c r="I100" i="2"/>
  <c r="I12" i="4"/>
  <c r="I15" i="4"/>
  <c r="I18" i="4"/>
  <c r="I19" i="4"/>
  <c r="I20" i="4"/>
  <c r="I24" i="4"/>
  <c r="I25" i="4"/>
  <c r="I26" i="4"/>
  <c r="I27" i="4"/>
  <c r="I31" i="4"/>
  <c r="I34" i="4"/>
  <c r="I35" i="4"/>
  <c r="I37" i="4"/>
  <c r="I42" i="4"/>
  <c r="I43" i="4"/>
  <c r="I46" i="4"/>
  <c r="I47" i="4"/>
  <c r="I48" i="4" s="1"/>
  <c r="I9" i="4"/>
  <c r="I6" i="4"/>
  <c r="I7" i="4"/>
  <c r="I5" i="4"/>
  <c r="I9" i="2" l="1"/>
  <c r="I72" i="2"/>
  <c r="I36" i="4"/>
  <c r="I21" i="4"/>
  <c r="I22" i="4" s="1"/>
  <c r="I20" i="2"/>
  <c r="I21" i="2" s="1"/>
  <c r="I82" i="2"/>
  <c r="I12" i="2"/>
  <c r="I60" i="2"/>
  <c r="I61" i="2" s="1"/>
  <c r="I32" i="4"/>
  <c r="I16" i="4"/>
  <c r="I44" i="4"/>
  <c r="I55" i="2"/>
  <c r="I56" i="2" s="1"/>
  <c r="I101" i="2"/>
  <c r="I31" i="2"/>
  <c r="I97" i="2"/>
  <c r="I15" i="2"/>
  <c r="I43" i="2"/>
  <c r="I67" i="2"/>
  <c r="I68" i="2" s="1"/>
  <c r="I27" i="2"/>
  <c r="I28" i="2" s="1"/>
  <c r="I13" i="4"/>
  <c r="I10" i="4"/>
  <c r="I35" i="2"/>
  <c r="I47" i="2"/>
  <c r="I51" i="2"/>
  <c r="I28" i="4"/>
  <c r="I29" i="4" s="1"/>
  <c r="J37" i="4" l="1"/>
  <c r="E30" i="5"/>
  <c r="E26" i="5"/>
  <c r="D26" i="5"/>
  <c r="E25" i="5"/>
  <c r="E31" i="5" s="1"/>
  <c r="D25" i="5"/>
  <c r="D31" i="5" s="1"/>
  <c r="C25" i="5"/>
  <c r="C31" i="5" s="1"/>
  <c r="E23" i="5"/>
  <c r="E22" i="5"/>
  <c r="E15" i="5"/>
  <c r="E12" i="5"/>
  <c r="E9" i="5"/>
  <c r="E6" i="5"/>
  <c r="D6" i="5"/>
  <c r="C6" i="5"/>
  <c r="D30" i="5"/>
  <c r="C30" i="5"/>
  <c r="C23" i="5"/>
  <c r="D22" i="5"/>
  <c r="C22" i="5"/>
  <c r="A22" i="5"/>
  <c r="E19" i="5"/>
  <c r="D19" i="5"/>
  <c r="C19" i="5"/>
  <c r="C20" i="5" s="1"/>
  <c r="A19" i="5"/>
  <c r="D15" i="5"/>
  <c r="C15" i="5"/>
  <c r="D12" i="5"/>
  <c r="C12" i="5"/>
  <c r="D9" i="5"/>
  <c r="D10" i="5" s="1"/>
  <c r="C9" i="5"/>
  <c r="C10" i="5" s="1"/>
  <c r="E7" i="5"/>
  <c r="D7" i="5"/>
  <c r="C7" i="5"/>
  <c r="D5" i="5"/>
  <c r="J12" i="4"/>
  <c r="J15" i="4"/>
  <c r="J18" i="4"/>
  <c r="J19" i="4"/>
  <c r="J20" i="4"/>
  <c r="J24" i="4"/>
  <c r="J25" i="4"/>
  <c r="J26" i="4"/>
  <c r="J27" i="4"/>
  <c r="J31" i="4"/>
  <c r="J34" i="4"/>
  <c r="J35" i="4"/>
  <c r="J42" i="4"/>
  <c r="J43" i="4"/>
  <c r="J46" i="4"/>
  <c r="J47" i="4"/>
  <c r="J9" i="4"/>
  <c r="J6" i="4"/>
  <c r="J7" i="4"/>
  <c r="J99" i="2"/>
  <c r="J100" i="2"/>
  <c r="J80" i="2"/>
  <c r="J87" i="2"/>
  <c r="J91" i="2" s="1"/>
  <c r="J74" i="2"/>
  <c r="J70" i="2"/>
  <c r="J71" i="2"/>
  <c r="J63" i="2"/>
  <c r="J64" i="2"/>
  <c r="J65" i="2"/>
  <c r="J96" i="2" s="1"/>
  <c r="J66" i="2"/>
  <c r="J54" i="2"/>
  <c r="J59" i="2"/>
  <c r="J45" i="2"/>
  <c r="J49" i="2"/>
  <c r="J50" i="2"/>
  <c r="J53" i="2" s="1"/>
  <c r="J33" i="2"/>
  <c r="J36" i="2"/>
  <c r="J41" i="2"/>
  <c r="J42" i="2"/>
  <c r="J30" i="2"/>
  <c r="J23" i="2"/>
  <c r="J24" i="2"/>
  <c r="J25" i="2"/>
  <c r="J26" i="2"/>
  <c r="J14" i="2"/>
  <c r="J17" i="2" s="1"/>
  <c r="J18" i="2"/>
  <c r="J19" i="2"/>
  <c r="J11" i="2"/>
  <c r="J8" i="2"/>
  <c r="J5" i="2"/>
  <c r="J6" i="2"/>
  <c r="J46" i="2" s="1"/>
  <c r="J4" i="2"/>
  <c r="J3" i="2"/>
  <c r="J33" i="3"/>
  <c r="I33" i="3" s="1"/>
  <c r="J30" i="3"/>
  <c r="J15" i="3"/>
  <c r="J34" i="2" s="1"/>
  <c r="J81" i="2" s="1"/>
  <c r="N37" i="2"/>
  <c r="A37" i="2"/>
  <c r="N38" i="4"/>
  <c r="P31" i="3"/>
  <c r="P32" i="3" s="1"/>
  <c r="P38" i="4" s="1"/>
  <c r="Q31" i="3"/>
  <c r="Q32" i="3" s="1"/>
  <c r="O31" i="3"/>
  <c r="O37" i="2" s="1"/>
  <c r="K31" i="3"/>
  <c r="K32" i="3" s="1"/>
  <c r="K38" i="4" s="1"/>
  <c r="L31" i="3"/>
  <c r="L37" i="2" s="1"/>
  <c r="M31" i="3"/>
  <c r="M32" i="3" s="1"/>
  <c r="M38" i="4" s="1"/>
  <c r="C16" i="5"/>
  <c r="K87" i="2"/>
  <c r="K91" i="2" s="1"/>
  <c r="L43" i="3"/>
  <c r="M43" i="3"/>
  <c r="N43" i="3"/>
  <c r="O43" i="3"/>
  <c r="P43" i="3"/>
  <c r="Q43" i="3"/>
  <c r="K43" i="3"/>
  <c r="L42" i="2"/>
  <c r="M42" i="2"/>
  <c r="N42" i="2"/>
  <c r="O42" i="2"/>
  <c r="P42" i="2"/>
  <c r="K42" i="2"/>
  <c r="L87" i="2"/>
  <c r="L91" i="2" s="1"/>
  <c r="M87" i="2"/>
  <c r="N87" i="2"/>
  <c r="N91" i="2" s="1"/>
  <c r="O87" i="2"/>
  <c r="O91" i="2" s="1"/>
  <c r="P87" i="2"/>
  <c r="P91" i="2" s="1"/>
  <c r="M55" i="3"/>
  <c r="L55" i="3" s="1"/>
  <c r="Q55" i="3"/>
  <c r="P55" i="3" s="1"/>
  <c r="M56" i="3"/>
  <c r="L56" i="3" s="1"/>
  <c r="Q56" i="3"/>
  <c r="P56" i="3" s="1"/>
  <c r="L46" i="4"/>
  <c r="M46" i="4"/>
  <c r="N46" i="4"/>
  <c r="O46" i="4"/>
  <c r="P46" i="4"/>
  <c r="K46" i="4"/>
  <c r="L43" i="4"/>
  <c r="M43" i="4"/>
  <c r="N43" i="4"/>
  <c r="O43" i="4"/>
  <c r="P43" i="4"/>
  <c r="K43" i="4"/>
  <c r="L42" i="4"/>
  <c r="M42" i="4"/>
  <c r="N42" i="4"/>
  <c r="O42" i="4"/>
  <c r="P42" i="4"/>
  <c r="K42" i="4"/>
  <c r="L37" i="4"/>
  <c r="M37" i="4"/>
  <c r="N37" i="4"/>
  <c r="O37" i="4"/>
  <c r="P37" i="4"/>
  <c r="K37" i="4"/>
  <c r="L34" i="4"/>
  <c r="M34" i="4"/>
  <c r="N34" i="4"/>
  <c r="O34" i="4"/>
  <c r="P34" i="4"/>
  <c r="K34" i="4"/>
  <c r="L31" i="4"/>
  <c r="M31" i="4"/>
  <c r="N31" i="4"/>
  <c r="O31" i="4"/>
  <c r="P31" i="4"/>
  <c r="K31" i="4"/>
  <c r="L26" i="2"/>
  <c r="M26" i="2"/>
  <c r="N26" i="2"/>
  <c r="O26" i="2"/>
  <c r="P26" i="2"/>
  <c r="L24" i="4"/>
  <c r="M24" i="4"/>
  <c r="N24" i="4"/>
  <c r="O24" i="4"/>
  <c r="P24" i="4"/>
  <c r="L25" i="4"/>
  <c r="M25" i="4"/>
  <c r="N25" i="4"/>
  <c r="O25" i="4"/>
  <c r="P25" i="4"/>
  <c r="L26" i="4"/>
  <c r="M26" i="4"/>
  <c r="N26" i="4"/>
  <c r="O26" i="4"/>
  <c r="P26" i="4"/>
  <c r="K26" i="4"/>
  <c r="K25" i="4"/>
  <c r="K24" i="4"/>
  <c r="N5" i="4"/>
  <c r="O5" i="4"/>
  <c r="P5" i="4"/>
  <c r="L18" i="4"/>
  <c r="M18" i="4"/>
  <c r="N18" i="4"/>
  <c r="O18" i="4"/>
  <c r="P18" i="4"/>
  <c r="L19" i="4"/>
  <c r="M19" i="4"/>
  <c r="N19" i="4"/>
  <c r="O19" i="4"/>
  <c r="P19" i="4"/>
  <c r="L20" i="4"/>
  <c r="M20" i="4"/>
  <c r="N20" i="4"/>
  <c r="O20" i="4"/>
  <c r="P20" i="4"/>
  <c r="K20" i="4"/>
  <c r="K19" i="4"/>
  <c r="K18" i="4"/>
  <c r="L15" i="4"/>
  <c r="M15" i="4"/>
  <c r="N15" i="4"/>
  <c r="O15" i="4"/>
  <c r="P15" i="4"/>
  <c r="K15" i="4"/>
  <c r="L12" i="4"/>
  <c r="M12" i="4"/>
  <c r="N12" i="4"/>
  <c r="O12" i="4"/>
  <c r="P12" i="4"/>
  <c r="K12" i="4"/>
  <c r="L9" i="4"/>
  <c r="M9" i="4"/>
  <c r="N9" i="4"/>
  <c r="O9" i="4"/>
  <c r="P9" i="4"/>
  <c r="K9" i="4"/>
  <c r="L6" i="4"/>
  <c r="M6" i="4"/>
  <c r="N6" i="4"/>
  <c r="O6" i="4"/>
  <c r="P6" i="4"/>
  <c r="K6" i="4"/>
  <c r="L36" i="2"/>
  <c r="M36" i="2"/>
  <c r="N36" i="2"/>
  <c r="O36" i="2"/>
  <c r="P36" i="2"/>
  <c r="K36" i="2"/>
  <c r="L66" i="2"/>
  <c r="M66" i="2"/>
  <c r="N66" i="2"/>
  <c r="O66" i="2"/>
  <c r="P66" i="2"/>
  <c r="K66" i="2"/>
  <c r="L64" i="2"/>
  <c r="M64" i="2"/>
  <c r="N64" i="2"/>
  <c r="O64" i="2"/>
  <c r="P64" i="2"/>
  <c r="K64" i="2"/>
  <c r="L59" i="2"/>
  <c r="M59" i="2"/>
  <c r="N59" i="2"/>
  <c r="O59" i="2"/>
  <c r="P59" i="2"/>
  <c r="K59" i="2"/>
  <c r="L54" i="2"/>
  <c r="M54" i="2"/>
  <c r="N54" i="2"/>
  <c r="O54" i="2"/>
  <c r="P54" i="2"/>
  <c r="K54" i="2"/>
  <c r="A34" i="4"/>
  <c r="A31" i="4"/>
  <c r="A27" i="4"/>
  <c r="B20" i="4"/>
  <c r="P7" i="4"/>
  <c r="O7" i="4"/>
  <c r="N7" i="4"/>
  <c r="M7" i="4"/>
  <c r="L7" i="4"/>
  <c r="K7" i="4"/>
  <c r="M5" i="4"/>
  <c r="L99" i="2"/>
  <c r="M99" i="2"/>
  <c r="N99" i="2"/>
  <c r="O99" i="2"/>
  <c r="P99" i="2"/>
  <c r="L100" i="2"/>
  <c r="M100" i="2"/>
  <c r="N100" i="2"/>
  <c r="O100" i="2"/>
  <c r="P100" i="2"/>
  <c r="K100" i="2"/>
  <c r="K99" i="2"/>
  <c r="A100" i="2"/>
  <c r="A99" i="2"/>
  <c r="A96" i="2"/>
  <c r="A95" i="2"/>
  <c r="A92" i="2"/>
  <c r="A91" i="2"/>
  <c r="L80" i="2"/>
  <c r="M80" i="2"/>
  <c r="N80" i="2"/>
  <c r="O80" i="2"/>
  <c r="P80" i="2"/>
  <c r="B81" i="2"/>
  <c r="A82" i="2"/>
  <c r="A81" i="2"/>
  <c r="K80" i="2"/>
  <c r="A80" i="2"/>
  <c r="L77" i="2"/>
  <c r="L84" i="2" s="1"/>
  <c r="L50" i="4" s="1"/>
  <c r="M77" i="2"/>
  <c r="M84" i="2" s="1"/>
  <c r="M50" i="4" s="1"/>
  <c r="N77" i="2"/>
  <c r="N84" i="2" s="1"/>
  <c r="N50" i="4" s="1"/>
  <c r="O77" i="2"/>
  <c r="O84" i="2" s="1"/>
  <c r="O50" i="4" s="1"/>
  <c r="P77" i="2"/>
  <c r="P84" i="2"/>
  <c r="P50" i="4" s="1"/>
  <c r="K77" i="2"/>
  <c r="K84" i="2" s="1"/>
  <c r="K50" i="4" s="1"/>
  <c r="L74" i="2"/>
  <c r="M74" i="2"/>
  <c r="N74" i="2"/>
  <c r="O74" i="2"/>
  <c r="P74" i="2"/>
  <c r="L75" i="2"/>
  <c r="M75" i="2"/>
  <c r="N75" i="2"/>
  <c r="O75" i="2"/>
  <c r="P75" i="2"/>
  <c r="L76" i="2"/>
  <c r="L83" i="2" s="1"/>
  <c r="L49" i="4" s="1"/>
  <c r="M76" i="2"/>
  <c r="M83" i="2" s="1"/>
  <c r="M49" i="4" s="1"/>
  <c r="N76" i="2"/>
  <c r="N83" i="2" s="1"/>
  <c r="N49" i="4" s="1"/>
  <c r="O76" i="2"/>
  <c r="O83" i="2" s="1"/>
  <c r="O49" i="4" s="1"/>
  <c r="P76" i="2"/>
  <c r="P83" i="2" s="1"/>
  <c r="P49" i="4" s="1"/>
  <c r="K75" i="2"/>
  <c r="K74" i="2"/>
  <c r="A74" i="2"/>
  <c r="L70" i="2"/>
  <c r="M70" i="2"/>
  <c r="N70" i="2"/>
  <c r="O70" i="2"/>
  <c r="P70" i="2"/>
  <c r="L71" i="2"/>
  <c r="M71" i="2"/>
  <c r="N71" i="2"/>
  <c r="O71" i="2"/>
  <c r="P71" i="2"/>
  <c r="K71" i="2"/>
  <c r="K70" i="2"/>
  <c r="A71" i="2"/>
  <c r="A70" i="2"/>
  <c r="L63" i="2"/>
  <c r="M63" i="2"/>
  <c r="N63" i="2"/>
  <c r="O63" i="2"/>
  <c r="P63" i="2"/>
  <c r="K63" i="2"/>
  <c r="L65" i="2"/>
  <c r="L96" i="2" s="1"/>
  <c r="M65" i="2"/>
  <c r="M96" i="2" s="1"/>
  <c r="N65" i="2"/>
  <c r="N96" i="2" s="1"/>
  <c r="O65" i="2"/>
  <c r="O96" i="2" s="1"/>
  <c r="P65" i="2"/>
  <c r="P96" i="2" s="1"/>
  <c r="K65" i="2"/>
  <c r="K96" i="2" s="1"/>
  <c r="L49" i="2"/>
  <c r="M49" i="2"/>
  <c r="M58" i="2"/>
  <c r="N49" i="2"/>
  <c r="O49" i="2"/>
  <c r="O58" i="2" s="1"/>
  <c r="P49" i="2"/>
  <c r="L50" i="2"/>
  <c r="L53" i="2" s="1"/>
  <c r="M50" i="2"/>
  <c r="M53" i="2" s="1"/>
  <c r="N50" i="2"/>
  <c r="N53" i="2" s="1"/>
  <c r="O50" i="2"/>
  <c r="O53" i="2" s="1"/>
  <c r="P50" i="2"/>
  <c r="P53" i="2" s="1"/>
  <c r="K50" i="2"/>
  <c r="K53" i="2" s="1"/>
  <c r="K49" i="2"/>
  <c r="L45" i="2"/>
  <c r="L95" i="2" s="1"/>
  <c r="M45" i="2"/>
  <c r="M95" i="2" s="1"/>
  <c r="N45" i="2"/>
  <c r="N95" i="2" s="1"/>
  <c r="O45" i="2"/>
  <c r="O95" i="2" s="1"/>
  <c r="P45" i="2"/>
  <c r="P95" i="2" s="1"/>
  <c r="K45" i="2"/>
  <c r="K95" i="2" s="1"/>
  <c r="L41" i="2"/>
  <c r="M41" i="2"/>
  <c r="N41" i="2"/>
  <c r="O41" i="2"/>
  <c r="P41" i="2"/>
  <c r="K41" i="2"/>
  <c r="L33" i="2"/>
  <c r="M33" i="2"/>
  <c r="N33" i="2"/>
  <c r="O33" i="2"/>
  <c r="P33" i="2"/>
  <c r="L34" i="2"/>
  <c r="L81" i="2" s="1"/>
  <c r="M34" i="2"/>
  <c r="M81" i="2" s="1"/>
  <c r="N34" i="2"/>
  <c r="N81" i="2" s="1"/>
  <c r="O34" i="2"/>
  <c r="O81" i="2" s="1"/>
  <c r="P34" i="2"/>
  <c r="K34" i="2"/>
  <c r="K81" i="2" s="1"/>
  <c r="K33" i="2"/>
  <c r="A33" i="2"/>
  <c r="L30" i="2"/>
  <c r="M30" i="2"/>
  <c r="N30" i="2"/>
  <c r="O30" i="2"/>
  <c r="P30" i="2"/>
  <c r="K30" i="2"/>
  <c r="A30" i="2"/>
  <c r="L25" i="2"/>
  <c r="M25" i="2"/>
  <c r="N25" i="2"/>
  <c r="O25" i="2"/>
  <c r="P25" i="2"/>
  <c r="L24" i="2"/>
  <c r="M24" i="2"/>
  <c r="N24" i="2"/>
  <c r="O24" i="2"/>
  <c r="P24" i="2"/>
  <c r="L23" i="2"/>
  <c r="M23" i="2"/>
  <c r="N23" i="2"/>
  <c r="O23" i="2"/>
  <c r="P23" i="2"/>
  <c r="B19" i="2"/>
  <c r="K25" i="2"/>
  <c r="K24" i="2"/>
  <c r="K26" i="2"/>
  <c r="A26" i="2"/>
  <c r="K23" i="2"/>
  <c r="L6" i="2"/>
  <c r="L46" i="2" s="1"/>
  <c r="M6" i="2"/>
  <c r="M46" i="2" s="1"/>
  <c r="N6" i="2"/>
  <c r="N46" i="2" s="1"/>
  <c r="O6" i="2"/>
  <c r="O46" i="2" s="1"/>
  <c r="P6" i="2"/>
  <c r="P46" i="2" s="1"/>
  <c r="K6" i="2"/>
  <c r="K46" i="2" s="1"/>
  <c r="L18" i="2"/>
  <c r="M18" i="2"/>
  <c r="N18" i="2"/>
  <c r="O18" i="2"/>
  <c r="P18" i="2"/>
  <c r="L19" i="2"/>
  <c r="M19" i="2"/>
  <c r="N19" i="2"/>
  <c r="O19" i="2"/>
  <c r="P19" i="2"/>
  <c r="K19" i="2"/>
  <c r="K18" i="2"/>
  <c r="L14" i="2"/>
  <c r="L17" i="2" s="1"/>
  <c r="M14" i="2"/>
  <c r="M17" i="2" s="1"/>
  <c r="N14" i="2"/>
  <c r="O14" i="2"/>
  <c r="O17" i="2" s="1"/>
  <c r="P14" i="2"/>
  <c r="P17" i="2" s="1"/>
  <c r="L11" i="2"/>
  <c r="M11" i="2"/>
  <c r="N11" i="2"/>
  <c r="O11" i="2"/>
  <c r="P11" i="2"/>
  <c r="P4" i="2"/>
  <c r="O4" i="2"/>
  <c r="N4" i="2"/>
  <c r="M4" i="2"/>
  <c r="L4" i="2"/>
  <c r="L8" i="2"/>
  <c r="M8" i="2"/>
  <c r="N8" i="2"/>
  <c r="O8" i="2"/>
  <c r="P8" i="2"/>
  <c r="L3" i="2"/>
  <c r="M3" i="2"/>
  <c r="N3" i="2"/>
  <c r="O3" i="2"/>
  <c r="P3" i="2"/>
  <c r="K3" i="2"/>
  <c r="L5" i="2"/>
  <c r="M5" i="2"/>
  <c r="N5" i="2"/>
  <c r="O5" i="2"/>
  <c r="P5" i="2"/>
  <c r="K14" i="2"/>
  <c r="K17" i="2" s="1"/>
  <c r="K11" i="2"/>
  <c r="K4" i="2"/>
  <c r="K8" i="2"/>
  <c r="K5" i="2"/>
  <c r="K34" i="3"/>
  <c r="J34" i="3" s="1"/>
  <c r="J76" i="2" s="1"/>
  <c r="J83" i="2" s="1"/>
  <c r="J49" i="4" s="1"/>
  <c r="D20" i="5" l="1"/>
  <c r="C13" i="5"/>
  <c r="L20" i="2"/>
  <c r="L21" i="2" s="1"/>
  <c r="E20" i="5"/>
  <c r="D32" i="5"/>
  <c r="N47" i="2"/>
  <c r="M55" i="2"/>
  <c r="M56" i="2" s="1"/>
  <c r="P20" i="2"/>
  <c r="P21" i="2" s="1"/>
  <c r="M47" i="2"/>
  <c r="E24" i="5"/>
  <c r="L35" i="2"/>
  <c r="P97" i="2"/>
  <c r="E16" i="5"/>
  <c r="E32" i="5"/>
  <c r="L55" i="2"/>
  <c r="L56" i="2" s="1"/>
  <c r="J82" i="2"/>
  <c r="M37" i="2"/>
  <c r="M38" i="2" s="1"/>
  <c r="M35" i="2"/>
  <c r="K72" i="2"/>
  <c r="O72" i="2"/>
  <c r="K37" i="2"/>
  <c r="K38" i="2" s="1"/>
  <c r="O60" i="2"/>
  <c r="O61" i="2" s="1"/>
  <c r="P35" i="2"/>
  <c r="K55" i="2"/>
  <c r="K56" i="2" s="1"/>
  <c r="M60" i="2"/>
  <c r="M61" i="2" s="1"/>
  <c r="K21" i="4"/>
  <c r="K22" i="4" s="1"/>
  <c r="L12" i="2"/>
  <c r="K51" i="2"/>
  <c r="N38" i="2"/>
  <c r="O27" i="2"/>
  <c r="O28" i="2" s="1"/>
  <c r="O55" i="2"/>
  <c r="O56" i="2" s="1"/>
  <c r="N72" i="2"/>
  <c r="P9" i="2"/>
  <c r="L27" i="2"/>
  <c r="L28" i="2" s="1"/>
  <c r="M72" i="2"/>
  <c r="O101" i="2"/>
  <c r="O44" i="4"/>
  <c r="L47" i="2"/>
  <c r="O31" i="2"/>
  <c r="M15" i="2"/>
  <c r="L9" i="2"/>
  <c r="P10" i="4"/>
  <c r="K39" i="4"/>
  <c r="I77" i="2"/>
  <c r="I84" i="2" s="1"/>
  <c r="I50" i="4" s="1"/>
  <c r="I51" i="4" s="1"/>
  <c r="I88" i="2" s="1"/>
  <c r="I89" i="2" s="1"/>
  <c r="H33" i="3"/>
  <c r="O10" i="4"/>
  <c r="P39" i="4"/>
  <c r="J28" i="4"/>
  <c r="J29" i="4" s="1"/>
  <c r="E10" i="5"/>
  <c r="D27" i="5"/>
  <c r="E13" i="5"/>
  <c r="K35" i="2"/>
  <c r="P21" i="4"/>
  <c r="P22" i="4" s="1"/>
  <c r="K101" i="2"/>
  <c r="E27" i="5"/>
  <c r="O82" i="2"/>
  <c r="O85" i="2" s="1"/>
  <c r="J101" i="2"/>
  <c r="M20" i="2"/>
  <c r="M21" i="2" s="1"/>
  <c r="J51" i="2"/>
  <c r="O51" i="2"/>
  <c r="O47" i="2"/>
  <c r="K67" i="2"/>
  <c r="K68" i="2" s="1"/>
  <c r="J47" i="2"/>
  <c r="P15" i="2"/>
  <c r="K43" i="2"/>
  <c r="K58" i="2"/>
  <c r="K60" i="2" s="1"/>
  <c r="K61" i="2" s="1"/>
  <c r="O12" i="2"/>
  <c r="O15" i="2"/>
  <c r="M43" i="2"/>
  <c r="N20" i="2"/>
  <c r="N67" i="2"/>
  <c r="N68" i="2" s="1"/>
  <c r="J67" i="2"/>
  <c r="J68" i="2" s="1"/>
  <c r="N39" i="4"/>
  <c r="L15" i="2"/>
  <c r="L5" i="4"/>
  <c r="K5" i="4" s="1"/>
  <c r="K44" i="4" s="1"/>
  <c r="M101" i="2"/>
  <c r="L21" i="4"/>
  <c r="L22" i="4" s="1"/>
  <c r="O43" i="2"/>
  <c r="J58" i="2"/>
  <c r="J60" i="2" s="1"/>
  <c r="J61" i="2" s="1"/>
  <c r="J77" i="2"/>
  <c r="J84" i="2" s="1"/>
  <c r="J50" i="4" s="1"/>
  <c r="K76" i="2"/>
  <c r="K83" i="2" s="1"/>
  <c r="K49" i="4" s="1"/>
  <c r="O9" i="2"/>
  <c r="L31" i="2"/>
  <c r="N35" i="2"/>
  <c r="P78" i="2"/>
  <c r="P92" i="2" s="1"/>
  <c r="P93" i="2" s="1"/>
  <c r="M44" i="4"/>
  <c r="M16" i="4"/>
  <c r="M21" i="4"/>
  <c r="M22" i="4" s="1"/>
  <c r="N16" i="4"/>
  <c r="D13" i="5"/>
  <c r="D16" i="5"/>
  <c r="C24" i="5"/>
  <c r="L43" i="2"/>
  <c r="N43" i="2"/>
  <c r="P43" i="2"/>
  <c r="P55" i="2"/>
  <c r="P56" i="2" s="1"/>
  <c r="L101" i="2"/>
  <c r="M27" i="4"/>
  <c r="M28" i="4" s="1"/>
  <c r="M29" i="4" s="1"/>
  <c r="P101" i="2"/>
  <c r="P32" i="4"/>
  <c r="N10" i="4"/>
  <c r="O21" i="4"/>
  <c r="O22" i="4" s="1"/>
  <c r="J12" i="2"/>
  <c r="P81" i="2"/>
  <c r="P82" i="2" s="1"/>
  <c r="P85" i="2" s="1"/>
  <c r="M97" i="2"/>
  <c r="L97" i="2"/>
  <c r="P72" i="2"/>
  <c r="N21" i="4"/>
  <c r="N22" i="4" s="1"/>
  <c r="O38" i="2"/>
  <c r="C26" i="5"/>
  <c r="C27" i="5" s="1"/>
  <c r="I30" i="3"/>
  <c r="H30" i="3" s="1"/>
  <c r="G30" i="3" s="1"/>
  <c r="C32" i="5"/>
  <c r="K55" i="3"/>
  <c r="K27" i="4" s="1"/>
  <c r="K28" i="4" s="1"/>
  <c r="K29" i="4" s="1"/>
  <c r="L27" i="4"/>
  <c r="L28" i="4" s="1"/>
  <c r="L29" i="4" s="1"/>
  <c r="O55" i="3"/>
  <c r="P27" i="4"/>
  <c r="P28" i="4" s="1"/>
  <c r="P29" i="4" s="1"/>
  <c r="P35" i="4"/>
  <c r="P36" i="4" s="1"/>
  <c r="P47" i="4"/>
  <c r="P48" i="4" s="1"/>
  <c r="P51" i="4" s="1"/>
  <c r="P88" i="2" s="1"/>
  <c r="P89" i="2" s="1"/>
  <c r="O56" i="3"/>
  <c r="L47" i="4"/>
  <c r="L48" i="4" s="1"/>
  <c r="L51" i="4" s="1"/>
  <c r="L88" i="2" s="1"/>
  <c r="L89" i="2" s="1"/>
  <c r="K56" i="3"/>
  <c r="L35" i="4"/>
  <c r="L36" i="4" s="1"/>
  <c r="N55" i="2"/>
  <c r="N56" i="2" s="1"/>
  <c r="K20" i="2"/>
  <c r="K21" i="2" s="1"/>
  <c r="O20" i="2"/>
  <c r="O21" i="2" s="1"/>
  <c r="O97" i="2"/>
  <c r="P51" i="2"/>
  <c r="K82" i="2"/>
  <c r="L82" i="2"/>
  <c r="L85" i="2" s="1"/>
  <c r="O13" i="4"/>
  <c r="P37" i="2"/>
  <c r="P38" i="2" s="1"/>
  <c r="J35" i="2"/>
  <c r="J21" i="4"/>
  <c r="J22" i="4" s="1"/>
  <c r="K9" i="2"/>
  <c r="K12" i="2"/>
  <c r="N9" i="2"/>
  <c r="P31" i="2"/>
  <c r="K27" i="2"/>
  <c r="K28" i="2" s="1"/>
  <c r="P67" i="2"/>
  <c r="P68" i="2" s="1"/>
  <c r="L38" i="2"/>
  <c r="M35" i="4"/>
  <c r="M36" i="4" s="1"/>
  <c r="J75" i="2"/>
  <c r="J36" i="4"/>
  <c r="M9" i="2"/>
  <c r="P12" i="2"/>
  <c r="O35" i="2"/>
  <c r="O67" i="2"/>
  <c r="O68" i="2" s="1"/>
  <c r="M78" i="2"/>
  <c r="M92" i="2" s="1"/>
  <c r="M13" i="4"/>
  <c r="P44" i="4"/>
  <c r="O32" i="3"/>
  <c r="O38" i="4" s="1"/>
  <c r="O39" i="4" s="1"/>
  <c r="J15" i="2"/>
  <c r="J20" i="2"/>
  <c r="J21" i="2" s="1"/>
  <c r="N15" i="2"/>
  <c r="M27" i="2"/>
  <c r="M28" i="2" s="1"/>
  <c r="K31" i="2"/>
  <c r="N51" i="2"/>
  <c r="N13" i="4"/>
  <c r="O32" i="4"/>
  <c r="J31" i="2"/>
  <c r="J72" i="2"/>
  <c r="J48" i="4"/>
  <c r="M39" i="4"/>
  <c r="N12" i="2"/>
  <c r="K97" i="2"/>
  <c r="P27" i="2"/>
  <c r="P28" i="2" s="1"/>
  <c r="L32" i="3"/>
  <c r="L38" i="4" s="1"/>
  <c r="L39" i="4" s="1"/>
  <c r="J9" i="2"/>
  <c r="M12" i="2"/>
  <c r="M82" i="2"/>
  <c r="M85" i="2" s="1"/>
  <c r="K47" i="2"/>
  <c r="L67" i="2"/>
  <c r="L68" i="2" s="1"/>
  <c r="M32" i="4"/>
  <c r="J43" i="2"/>
  <c r="P47" i="2"/>
  <c r="N31" i="2"/>
  <c r="M51" i="2"/>
  <c r="L51" i="2"/>
  <c r="L72" i="2"/>
  <c r="N101" i="2"/>
  <c r="O16" i="4"/>
  <c r="N27" i="2"/>
  <c r="N28" i="2" s="1"/>
  <c r="M47" i="4"/>
  <c r="M48" i="4" s="1"/>
  <c r="M51" i="4" s="1"/>
  <c r="M88" i="2" s="1"/>
  <c r="M89" i="2" s="1"/>
  <c r="J31" i="3"/>
  <c r="J27" i="2"/>
  <c r="J28" i="2" s="1"/>
  <c r="J55" i="2"/>
  <c r="J56" i="2" s="1"/>
  <c r="N32" i="4"/>
  <c r="N44" i="4"/>
  <c r="P13" i="4"/>
  <c r="P16" i="4"/>
  <c r="M10" i="4"/>
  <c r="N82" i="2"/>
  <c r="N85" i="2" s="1"/>
  <c r="N97" i="2"/>
  <c r="N17" i="2"/>
  <c r="N58" i="2"/>
  <c r="N60" i="2" s="1"/>
  <c r="N61" i="2" s="1"/>
  <c r="L58" i="2"/>
  <c r="L60" i="2" s="1"/>
  <c r="L61" i="2" s="1"/>
  <c r="M91" i="2"/>
  <c r="J95" i="2"/>
  <c r="J97" i="2" s="1"/>
  <c r="K15" i="2"/>
  <c r="M31" i="2"/>
  <c r="P58" i="2"/>
  <c r="P60" i="2" s="1"/>
  <c r="P61" i="2" s="1"/>
  <c r="M67" i="2"/>
  <c r="M68" i="2" s="1"/>
  <c r="L78" i="2"/>
  <c r="L92" i="2" s="1"/>
  <c r="L93" i="2" s="1"/>
  <c r="O78" i="2"/>
  <c r="O92" i="2" s="1"/>
  <c r="O93" i="2" s="1"/>
  <c r="N78" i="2"/>
  <c r="N92" i="2" s="1"/>
  <c r="N93" i="2" s="1"/>
  <c r="O39" i="2" l="1"/>
  <c r="J78" i="2"/>
  <c r="J92" i="2" s="1"/>
  <c r="J93" i="2" s="1"/>
  <c r="E28" i="5"/>
  <c r="I85" i="2"/>
  <c r="M39" i="2"/>
  <c r="L39" i="2"/>
  <c r="P40" i="4"/>
  <c r="C28" i="5"/>
  <c r="H77" i="2"/>
  <c r="H84" i="2" s="1"/>
  <c r="H85" i="2" s="1"/>
  <c r="G33" i="3"/>
  <c r="G77" i="2" s="1"/>
  <c r="G84" i="2" s="1"/>
  <c r="K39" i="2"/>
  <c r="P39" i="2"/>
  <c r="G31" i="3"/>
  <c r="G75" i="2"/>
  <c r="K78" i="2"/>
  <c r="K92" i="2" s="1"/>
  <c r="K93" i="2" s="1"/>
  <c r="K85" i="2"/>
  <c r="J51" i="4"/>
  <c r="J88" i="2" s="1"/>
  <c r="J89" i="2" s="1"/>
  <c r="N39" i="2"/>
  <c r="K10" i="4"/>
  <c r="H31" i="3"/>
  <c r="H75" i="2"/>
  <c r="L13" i="4"/>
  <c r="K13" i="4"/>
  <c r="L32" i="4"/>
  <c r="L10" i="4"/>
  <c r="K16" i="4"/>
  <c r="J85" i="2"/>
  <c r="K32" i="4"/>
  <c r="J5" i="4"/>
  <c r="J44" i="4" s="1"/>
  <c r="N21" i="2"/>
  <c r="L16" i="4"/>
  <c r="L44" i="4"/>
  <c r="M93" i="2"/>
  <c r="I31" i="3"/>
  <c r="I75" i="2"/>
  <c r="I78" i="2" s="1"/>
  <c r="I92" i="2" s="1"/>
  <c r="I93" i="2" s="1"/>
  <c r="M40" i="4"/>
  <c r="L40" i="4"/>
  <c r="K35" i="4"/>
  <c r="K36" i="4" s="1"/>
  <c r="K40" i="4" s="1"/>
  <c r="K47" i="4"/>
  <c r="K48" i="4" s="1"/>
  <c r="K51" i="4" s="1"/>
  <c r="K88" i="2" s="1"/>
  <c r="K89" i="2" s="1"/>
  <c r="O47" i="4"/>
  <c r="O48" i="4" s="1"/>
  <c r="O51" i="4" s="1"/>
  <c r="O88" i="2" s="1"/>
  <c r="O89" i="2" s="1"/>
  <c r="N56" i="3"/>
  <c r="O35" i="4"/>
  <c r="O36" i="4" s="1"/>
  <c r="O40" i="4" s="1"/>
  <c r="O27" i="4"/>
  <c r="O28" i="4" s="1"/>
  <c r="O29" i="4" s="1"/>
  <c r="N55" i="3"/>
  <c r="N27" i="4" s="1"/>
  <c r="N28" i="4" s="1"/>
  <c r="N29" i="4" s="1"/>
  <c r="J32" i="3"/>
  <c r="J38" i="4" s="1"/>
  <c r="J39" i="4" s="1"/>
  <c r="J37" i="2"/>
  <c r="J38" i="2" s="1"/>
  <c r="J39" i="2" s="1"/>
  <c r="J40" i="4" l="1"/>
  <c r="H78" i="2"/>
  <c r="H92" i="2" s="1"/>
  <c r="H93" i="2" s="1"/>
  <c r="G78" i="2"/>
  <c r="G92" i="2" s="1"/>
  <c r="G93" i="2" s="1"/>
  <c r="H50" i="4"/>
  <c r="H51" i="4" s="1"/>
  <c r="H88" i="2" s="1"/>
  <c r="H89" i="2" s="1"/>
  <c r="G32" i="3"/>
  <c r="G38" i="4" s="1"/>
  <c r="G39" i="4" s="1"/>
  <c r="G40" i="4" s="1"/>
  <c r="G37" i="2"/>
  <c r="G38" i="2" s="1"/>
  <c r="G39" i="2" s="1"/>
  <c r="G50" i="4"/>
  <c r="G51" i="4" s="1"/>
  <c r="G88" i="2" s="1"/>
  <c r="G89" i="2" s="1"/>
  <c r="G85" i="2"/>
  <c r="H32" i="3"/>
  <c r="H38" i="4" s="1"/>
  <c r="H39" i="4" s="1"/>
  <c r="H40" i="4" s="1"/>
  <c r="H37" i="2"/>
  <c r="H38" i="2" s="1"/>
  <c r="H39" i="2" s="1"/>
  <c r="J13" i="4"/>
  <c r="J16" i="4"/>
  <c r="J32" i="4"/>
  <c r="J10" i="4"/>
  <c r="I32" i="3"/>
  <c r="I38" i="4" s="1"/>
  <c r="I39" i="4" s="1"/>
  <c r="I40" i="4" s="1"/>
  <c r="I37" i="2"/>
  <c r="I38" i="2" s="1"/>
  <c r="I39" i="2" s="1"/>
  <c r="N47" i="4"/>
  <c r="N48" i="4" s="1"/>
  <c r="N51" i="4" s="1"/>
  <c r="N88" i="2" s="1"/>
  <c r="N89" i="2" s="1"/>
  <c r="D23" i="5"/>
  <c r="D24" i="5" s="1"/>
  <c r="D28" i="5" s="1"/>
  <c r="N35" i="4"/>
  <c r="N36" i="4" s="1"/>
  <c r="N40" i="4" s="1"/>
</calcChain>
</file>

<file path=xl/sharedStrings.xml><?xml version="1.0" encoding="utf-8"?>
<sst xmlns="http://schemas.openxmlformats.org/spreadsheetml/2006/main" count="450" uniqueCount="241">
  <si>
    <t>Årsak til bruk av alternativt resultatmål</t>
  </si>
  <si>
    <t>Definisjon</t>
  </si>
  <si>
    <t>Beregningsforklaring</t>
  </si>
  <si>
    <t>Resultatsammendrag i % beregnes ved å dividere hvert resultatelement med gjennomsnitlig forvaltningskapital. I beregningsforklaringen er resultatelementet netto renteinntekter brukt som eksempel. Ved opplysninger av resultatsammendrag i % for kortere perioder enn hele regnskapsår blir resultatelementene annualisert.</t>
  </si>
  <si>
    <t>Kostnadsprosent er et normalt nøkkeltall innenfor bank/finans. Nøkkeltallet reflekterer hvor effektivt banken/konsernet drives.</t>
  </si>
  <si>
    <t>Kostnadsprosenten reflekterer bankens/konsernets evne til å omsette sine driftskostnader til inntektservervelse. Kostnadsprosenten beregnes ved å dividere sum driftskostnader på sum inntekter.</t>
  </si>
  <si>
    <t>Innskuddsdekning</t>
  </si>
  <si>
    <t>Innskuddsdekningen reflekterer bankens evne til å finansiere utlån til kunder gjennom innskudd fra kunder. Innskuddsdekningen beregnes ved å dividere sum innskudd på sum utlån.</t>
  </si>
  <si>
    <t>Utlånsvekst siste 12 måneder</t>
  </si>
  <si>
    <t>Utlånsvekst siste 12 måneder reflekterer utlånsveksten i balansen fra tilsvarende tidspunkt i fjor til i år.</t>
  </si>
  <si>
    <t>ALTERNATIVE RESULTATMÅL</t>
  </si>
  <si>
    <t>Dokument</t>
  </si>
  <si>
    <t>Kapittel</t>
  </si>
  <si>
    <t>Hvorfor</t>
  </si>
  <si>
    <t>Hva</t>
  </si>
  <si>
    <t>Hvordan</t>
  </si>
  <si>
    <t xml:space="preserve">Egenkapitalavkastning </t>
  </si>
  <si>
    <t>Egenkapitalavkastning u/fondsobligasjoner</t>
  </si>
  <si>
    <t>Innskudd fra og gjeld til kunder/Brutto utlån til og fordringer på kunder</t>
  </si>
  <si>
    <t>Innskuddsdekning er et normalt nøkkeltall innenfor bank/finans. Nøkkeltallet viser andelen av bankens utlånsvirksomheten som finansieres av innskudd fra kunder.</t>
  </si>
  <si>
    <t xml:space="preserve">Utlånsvekst siste 12 måneder er et normalt nøkkeltall innenfor bank/finans. Nøkkeltallet viser veksten i bankens utlånsvirksomhet de siste 12 måneder. Ved å rullerende vise veksten for 12 måneder tas det hensyn til eventuelle sesongsvigninger </t>
  </si>
  <si>
    <t>Utlånsvekst siste 12 måneder reflekterer utlånsveksten i balansen og lån formidlet via Eika Boligkreditt AS fra tilsvarende tidspunkt i fjor til i år.</t>
  </si>
  <si>
    <t xml:space="preserve">Banken kan styre om utlån plassers i egen balanse eller om de benytter Eika Boligkreditt AS. Ved å inkludere veksten i bankens portefølje i Eika Boligkreditt viser nøkeltallet den samlede veksten i lån formidlet av banken siste 12 måneder uavhengi av hvor banken har valgt å plassere lånene. </t>
  </si>
  <si>
    <t>Innskuddsvekst siste 12 måneder</t>
  </si>
  <si>
    <t>Innskuddsvekst siste 12 måneder er et normalt nøkkeltall innenfor bank/finans. Nøkkeltallet reflekterer aktiviteten og veksten i bankens innskuddsvirksomhet</t>
  </si>
  <si>
    <t>Innskuddsvekst siste 12 måneder reflekterer innskuddsveksten i balansen fra tilsvarende tidspunkt i fjor til i år</t>
  </si>
  <si>
    <t>Kostnad/inntektsforhold inkl. verdipapirtap/gevinst i %</t>
  </si>
  <si>
    <t>Kostnad/inntektsforhold ekskl. verdipapirtap/gevinst i %</t>
  </si>
  <si>
    <t>Forvaltningskapital pr. årsverk</t>
  </si>
  <si>
    <t>Utlån formidlet via Eika Boligkreditt AS (EBK)</t>
  </si>
  <si>
    <t>Utlånsvekst siste 12 måneder inkl. Eika Boligkreditt AS (EBK)</t>
  </si>
  <si>
    <t>Volum på utlån som banken har formidlet til EBK og som de mottar provisjon på.</t>
  </si>
  <si>
    <t>Bokført egenkapital per egenkapitalbevis</t>
  </si>
  <si>
    <t>Resultat per egenkapitalbevis</t>
  </si>
  <si>
    <t>Nøkkeltallet gir leserne informasjon om inntjeningen per egenkapitalbevis. Nøkkeltallet gir leseren mulighet til å vurdere rimeligheten av børskursen til egenkapitalbeviset.</t>
  </si>
  <si>
    <t>Pris/Bokført Egenkapital</t>
  </si>
  <si>
    <t>Pris/Resultat per egenkapitalbevis</t>
  </si>
  <si>
    <t>Nøkkeltallet gir leserne informasjon om inntjeningen per egenkapitalbevis sett opp mot børskurs på aktuelle tidspunkt. Nøkkeltallet gir leseren mulighet til å vurdere rimeligheten av børskursen til egenkapitalbeviset</t>
  </si>
  <si>
    <t>Nøkkeltallet gir leserne informasjon om verdien av den bokførte egenkapitalen per egenkapitalbevis sett opp mot børskurs på aktuelle tidspunkt. Nøkkeltallet gir leseren mulighet til å vurdere rimeligheten av børskursen til egenkapitalbeviset.</t>
  </si>
  <si>
    <t>Kundemargin</t>
  </si>
  <si>
    <t>Nøkkeltallet gir leserne informasjon om inntjeningen på bankens utlånsportefølje relativt til inntjeningen på bankens innskuddsportefølje. Nøkkeltallet gir leseren mulighet til å vurdere lønnsomheten i bankens netto eksponering mot kunder.</t>
  </si>
  <si>
    <t>Børskurs per egenkapitalbevis dividerte på resultat per egenkapitalbevis (se definisjon av dette nøkkeltallet over).</t>
  </si>
  <si>
    <t>Børskurs per egenkapitalbevis/Resultat per egenkapitalbevis</t>
  </si>
  <si>
    <t>Børskurs per egenkapitalbevis dividerte på bokført egenkapital per egenkapitalbevis (se definisjon av dette nøkkeltallet over).</t>
  </si>
  <si>
    <t>Børskurs per egenkapitalbevis/Bokført egenkapital per egenkapitalbevis</t>
  </si>
  <si>
    <t>Nøkkeltallet viser forvaltningskapital per årsverk på balansetidspunktet. Nøkkeltallet har til hensik å gi informasjon om banken sin effektivitet.</t>
  </si>
  <si>
    <t>Nøkkeltallet viser forvaltningskapital per årsverk på balansetidspunktet</t>
  </si>
  <si>
    <t>Resultatsammendrag i % angir de ulike resultatelementene som funksjon av gjennomsnitlig forvaltningskapital. Nøkkeltallene brukes for å vise den relative utviklingen av resultatelementene sett i forhold til utviklingen av forvaltningskapitalen.</t>
  </si>
  <si>
    <t xml:space="preserve">Tapsprosent utlån </t>
  </si>
  <si>
    <t>Nøkkeltallet gir leserne informasjon om verdien av den bokførte egenkapitalen per egenkapitalbevis. Nøkkeltallet gir leseren mulighet til å vurdere rimeligheten av børskursen til egenkapitalbeviset.</t>
  </si>
  <si>
    <t>Egenkapitalbeviseiernes andel av egenkapitalen dividert på antall egenkapitalbevis.</t>
  </si>
  <si>
    <t>Forvaltningskapital/Antall ansatte</t>
  </si>
  <si>
    <t>Resultatsammendrag i % inkludere: Rentenetto, netto andre driftsinntekter, sum driftskostnader og resultat</t>
  </si>
  <si>
    <t>Kostnadsprosent er et normalt nøkkeltall innenfor bank/finans. Nøkkeltallet reflekterer hvor effektivt banken/konsernet drives. Tap og gevinster på verdipapirer kan svinge mye fra år til år og banken mener at man ved beregne nøkkeltallet uten disse inntektene kan sammenligne bedre utviklingen i effektivitet over tid enn når inntekter fra verdipapirer inkluderes.</t>
  </si>
  <si>
    <t>Nøkkeltallet viser avkastningen på egenkapitalen, og gir eierene av egenkapitalen informasjon om avkastningen på midlene de har skutt inn. Nøkkeltallet gir også et godt mål på hvor effektivt egenkapitalen brukes og hvor godt banken drives.</t>
  </si>
  <si>
    <t>Egenkapitalavkastningen beregnes ved å dividere resultat etter skatt med gjennomsnitlig egenkapital siste året. Ved opplysninger av egenkapitalavkastning for kortere perioder enn hele regnskapsår blir resultatet annualisert.</t>
  </si>
  <si>
    <t>Resultat etter skatt/Gjennomsnittlig egenkapital siste år</t>
  </si>
  <si>
    <t>Sum driftskostnader/(Netto rente og kredittprovisjonsinntekter+Netto andre driftsinntekter)</t>
  </si>
  <si>
    <t>Sum driftskostnader/(Netto rente og kredittprovisjonsinntekter+Netto andre driftsinntekter-Nettoverdiendring og gevinst/tap på valuta og verdipapirer)</t>
  </si>
  <si>
    <t xml:space="preserve">Banken kan styre om utlån plassers i egen balanse eller om banken benytter Eika Boligkreditt AS. Lån som inngår i bankes låneportefølje i EBK formidles via Totens Sparebank og kundeforholdet forvaltes av Totens Sparebank. For å ha et riktigere bilde av hvilke lån banken formidler har banken valgt å vise bankens portefølje i EBK i sine nøkkeltall  </t>
  </si>
  <si>
    <t>(Netto utlån til og fordringer på kunder i år - Netto utlån til og fordringer på kunder i fjor)/Netto utlån og fordringer på kunder i fjor</t>
  </si>
  <si>
    <t>Netto tap på utlån og garantier/Netto utlån til og fordringer på kunder</t>
  </si>
  <si>
    <t>(Sum egenkapital-Fondsobligasjoner) x Eierandelsbrøk/Antall egenkapitalbevis</t>
  </si>
  <si>
    <t>Eierandelsbrøk (gjeldende for etterfølgende år)</t>
  </si>
  <si>
    <t>Formidlingskapital</t>
  </si>
  <si>
    <t>Formidlede lån</t>
  </si>
  <si>
    <t>Nøkkeltallet gir informasjon om hvor stor andel av bankens egenkapital som eies av egenkapitalbeviseiere</t>
  </si>
  <si>
    <t>Eierandelskapital+overkursfornd+utjevningsfond/(Total egenkapital-fond for urealiserte gevinster-annen egenkapital)</t>
  </si>
  <si>
    <t>Nøkkeltallet gir informasjon om hvor stor andel av bankens egenkapital som eies av egenkapitalbeviseiere. Dette brukes for å beregne egenkapitalbeviseierenes andel av f.eks resultat og bokført egenkapital per egenkapitalbevis. Brøken beregnes ved årsslutt og gjelder for påfølgende år.</t>
  </si>
  <si>
    <t xml:space="preserve">Formidlingskapital gir informasjon om hva bankens totale forvaltningskapital ville vært om lånene som er formidlet via Eika Boligkreditt hadde vært inkludert i konsernet. Banken betjener kundene som har disse lånene og formidlingskapital gir noe mer informasjon om hvor mye lån som betjenes av bankens ansatte enn forvaltningskapital. </t>
  </si>
  <si>
    <t>Formidlingskapital gir informasjon om hva bankens totale forvaltningskapital ville vært om lånene som er formidlet via Eika Boligkreditt inkluderes i konsernet</t>
  </si>
  <si>
    <t>Formidlede lån gir informasjon om hva bankens totale formidlede lån ville vært om lånene som er formidlet via Eika Boligkreditt hadde vært inkludert i konsernet. Banken betjener kundene som har disse lånene og formidlede lån gir noe mer informasjon om hvor mye lån som betjenes av bankens ansatte enn konsernets ulån.</t>
  </si>
  <si>
    <t>Formidlede lån gir informasjon om hva bankens totale formidlede lån ville vært om lånene som er formidlet via Eika Boligkreditt hadde vært inkludert i konsernet</t>
  </si>
  <si>
    <t>Netto andre driftsinntekter i % av gj.snittlig forvaltningskapital</t>
  </si>
  <si>
    <t>Sum driftskostnader i % av gj.snittlig forvaltningskapital</t>
  </si>
  <si>
    <t>Kostnad-/inntektsforhold  inkl. verdipapirtap/gevinst</t>
  </si>
  <si>
    <t xml:space="preserve">Kostnad-/inntektsforhold  ekskl. verdipapirtap/gevinst </t>
  </si>
  <si>
    <t>Egenkapitalavkastning, uten fondsobligasjoner</t>
  </si>
  <si>
    <t>Egenkapitalavkastning, fondsobligasjoner inkl. i egenkapital</t>
  </si>
  <si>
    <t xml:space="preserve">Innskuddsdekning </t>
  </si>
  <si>
    <t>Endring i netto utlån til kunder siste 12 måneder i %</t>
  </si>
  <si>
    <t>Endring i innskudd fra kunder siste 12 måneder i %</t>
  </si>
  <si>
    <t>KVARTALSVIS RESULTATUTVIKLING</t>
  </si>
  <si>
    <t>3. kv. 22</t>
  </si>
  <si>
    <t>2. kv. 22</t>
  </si>
  <si>
    <t>1. kv. 22</t>
  </si>
  <si>
    <t>4. kv. 21</t>
  </si>
  <si>
    <t>3. kv. 21</t>
  </si>
  <si>
    <t>2. kv. 21</t>
  </si>
  <si>
    <t>Netto rente- og kredittprovisjonsinntekter</t>
  </si>
  <si>
    <t>Netto andre driftsinntekter</t>
  </si>
  <si>
    <t>Sum driftskostnader</t>
  </si>
  <si>
    <t>Driftsresultat før tap og nedskrivninger</t>
  </si>
  <si>
    <t>Tap på utlån, garantier m.v.</t>
  </si>
  <si>
    <t>Driftsresultat før skatt</t>
  </si>
  <si>
    <t>Skatt på ordinært resultat</t>
  </si>
  <si>
    <t>Resultat av ordinær drift etter skatt</t>
  </si>
  <si>
    <t>BALANSEUTVIKLING</t>
  </si>
  <si>
    <t>Netto utlån til og fordringer på kunder</t>
  </si>
  <si>
    <t>Innskudd fra og gjeld til kunder</t>
  </si>
  <si>
    <t>Gjeld stiftet ved utstedelse av verdipapirer</t>
  </si>
  <si>
    <t>Ansvarlig lånekapital</t>
  </si>
  <si>
    <t>Egenkapital</t>
  </si>
  <si>
    <t>Forvaltningskapital</t>
  </si>
  <si>
    <t>Gjennomsnittlig  forvaltningskapital siste periode</t>
  </si>
  <si>
    <t>Gjennomsnittlig egenkapital siste periode</t>
  </si>
  <si>
    <t>Antall årsverk ved kvartalsslutt</t>
  </si>
  <si>
    <t>Netto renteinntekter/Gjennomsnittlig forvaltningskapital</t>
  </si>
  <si>
    <t>Rentenetto i kr kvartalet</t>
  </si>
  <si>
    <t>Antall dager i kvartalet</t>
  </si>
  <si>
    <t>Rentenetto i % av forvaltningskapital i kvartalet</t>
  </si>
  <si>
    <t>Netto andre driftsinntekter i kvartalet</t>
  </si>
  <si>
    <t>Sum driftskostnader i kvartalet</t>
  </si>
  <si>
    <t>Sum inntekter</t>
  </si>
  <si>
    <t>Sum inntekter eks verdipapirtap/gevinst</t>
  </si>
  <si>
    <t xml:space="preserve">Netto verdiendring og gevinst(+)/tap(-) på valuta og verdipapirer </t>
  </si>
  <si>
    <t>til virkelig verdi over resultatet</t>
  </si>
  <si>
    <t>A1</t>
  </si>
  <si>
    <t>A2</t>
  </si>
  <si>
    <t>A3</t>
  </si>
  <si>
    <t>A4</t>
  </si>
  <si>
    <t>(A4*365/A1)/A2</t>
  </si>
  <si>
    <t>Formel for beregning</t>
  </si>
  <si>
    <t>A5</t>
  </si>
  <si>
    <t>A6</t>
  </si>
  <si>
    <t>(A5*365/A1)/A2</t>
  </si>
  <si>
    <t>(A6*365/A1)/A2</t>
  </si>
  <si>
    <t>A4+A5</t>
  </si>
  <si>
    <t>A6/(A4+A5)</t>
  </si>
  <si>
    <t>A7</t>
  </si>
  <si>
    <t>A6/(A4+A5-A7)</t>
  </si>
  <si>
    <t>Driftsresultat før tap og nedskrivinger  i % av gj.snittlig forvaltningskapital</t>
  </si>
  <si>
    <t>A4+A5-A7</t>
  </si>
  <si>
    <t>A8</t>
  </si>
  <si>
    <t>(A8*365/A1)/A2</t>
  </si>
  <si>
    <t>A9</t>
  </si>
  <si>
    <t>Renter på fondsobligasjoner</t>
  </si>
  <si>
    <t>A10</t>
  </si>
  <si>
    <t>Resultat av ordinær drift etter skatt fratrukket renter på fondsobligasjoner</t>
  </si>
  <si>
    <t>Fondsobligasjoner</t>
  </si>
  <si>
    <t>A9-A10</t>
  </si>
  <si>
    <t>A11</t>
  </si>
  <si>
    <t>A12</t>
  </si>
  <si>
    <t>Gjennomsnittlig egenkapital siste periode uten fondsobligasjoner</t>
  </si>
  <si>
    <t>A11-A12</t>
  </si>
  <si>
    <t>((A9-A10)*365/A1)/(A11-A12)</t>
  </si>
  <si>
    <t>(A9*365/A1)/(A11)</t>
  </si>
  <si>
    <t>Gj.snitt forvaltningskapital i kvartalet</t>
  </si>
  <si>
    <t>A12/A3</t>
  </si>
  <si>
    <t>A13</t>
  </si>
  <si>
    <t>A14</t>
  </si>
  <si>
    <t>A13*100/A14</t>
  </si>
  <si>
    <t>Netto utlån til og fordringer på kunder per dato</t>
  </si>
  <si>
    <t>Netto utlån til og fordringer på kunder samme kvartal for et år siden</t>
  </si>
  <si>
    <t>Økt utlån siste 12 måneder</t>
  </si>
  <si>
    <t>A15</t>
  </si>
  <si>
    <t>Innskudd fra og gjeld til kunder samme kvartal for et år siden</t>
  </si>
  <si>
    <t>Endring i innskudd fra kunder siste 12</t>
  </si>
  <si>
    <t>A16</t>
  </si>
  <si>
    <t>A14-A15</t>
  </si>
  <si>
    <t>(A14-A15)/A15</t>
  </si>
  <si>
    <t>A13-A16</t>
  </si>
  <si>
    <t>(A13-A16)/A16</t>
  </si>
  <si>
    <t>Utlån formidlet via Eika Boligkreditt AS (EBK) samme kvartal for et år siden</t>
  </si>
  <si>
    <t>Økt utlån inkludert EBK siste 12 måneder</t>
  </si>
  <si>
    <t>A17</t>
  </si>
  <si>
    <t>A18</t>
  </si>
  <si>
    <t>A14-A15+A17-A18</t>
  </si>
  <si>
    <t>(A14-A15+A17-A18)/(A15+A18)</t>
  </si>
  <si>
    <t>A19</t>
  </si>
  <si>
    <t>A14*100/A19</t>
  </si>
  <si>
    <t>A20</t>
  </si>
  <si>
    <t>A21</t>
  </si>
  <si>
    <t>Antall egenkapitalbevis</t>
  </si>
  <si>
    <t>A22</t>
  </si>
  <si>
    <t>((A20-A12)*A21/100)/A22</t>
  </si>
  <si>
    <t>((A9-A10)*A21/100)/A22</t>
  </si>
  <si>
    <t>Pris/resultat per egenkapitalbevis (annualisert resultat pr EKB)</t>
  </si>
  <si>
    <t>Børskurs</t>
  </si>
  <si>
    <t>A23</t>
  </si>
  <si>
    <t>A24</t>
  </si>
  <si>
    <t>A25</t>
  </si>
  <si>
    <t>A23/A25</t>
  </si>
  <si>
    <t>A12+A17</t>
  </si>
  <si>
    <t>A14+A17</t>
  </si>
  <si>
    <t xml:space="preserve">Gj.snitt forvaltningskapital </t>
  </si>
  <si>
    <t>1. kv. 21</t>
  </si>
  <si>
    <t>Egenkapital gjennomsnitt kvartal</t>
  </si>
  <si>
    <t>Egenkapital gjennomsnitt hittil i år</t>
  </si>
  <si>
    <t>Forvaltningskapital gjennomsnitt kvartal</t>
  </si>
  <si>
    <t>Forvaltningskapital gjennomsnitt hittil i år</t>
  </si>
  <si>
    <t>RESULTATUTVIKLING HITTIL I ÅR</t>
  </si>
  <si>
    <t>Rentenetto i kr</t>
  </si>
  <si>
    <t>*A23/(A24*4/antall kvartaler i året)</t>
  </si>
  <si>
    <t>Linjer og nøkkeltall</t>
  </si>
  <si>
    <t>Rentenetto i % av forvaltningskapital</t>
  </si>
  <si>
    <t>Antall årsverk</t>
  </si>
  <si>
    <t>Antall dager</t>
  </si>
  <si>
    <t xml:space="preserve">Sum driftskostnader </t>
  </si>
  <si>
    <t xml:space="preserve">Netto andre driftsinntekter </t>
  </si>
  <si>
    <t>Avsteminger av alternative resultatmål - kvartalsvis</t>
  </si>
  <si>
    <t>Avsteminger av alternative resultatmål -hittil for året</t>
  </si>
  <si>
    <t>Spesifikasjon av enkelte poster i regnskapet per kvartal</t>
  </si>
  <si>
    <t xml:space="preserve">Øvrige poster </t>
  </si>
  <si>
    <t>Spesifikasjon av enkelte poster i regnskapet hittil i året</t>
  </si>
  <si>
    <t>Kode i formeler</t>
  </si>
  <si>
    <t>Resultat etter skatt-Renter til fondsobligasjoner/(Gjennomsnittlig egenkapital-Gjennomsnittllig fondsobligasjoner)</t>
  </si>
  <si>
    <t>Fondsobligasjoner gjennomsnittlig kvartal</t>
  </si>
  <si>
    <t>Fondsobligasjoner gjennomsnittlig hittil i år</t>
  </si>
  <si>
    <t>4. kv. 22</t>
  </si>
  <si>
    <t>Beregning av gjennomsnittlig kapital for perioder</t>
  </si>
  <si>
    <t xml:space="preserve">Beløp i aktuelle perioder/antall perioder som inkluderes. Banken bruker måneder som grunnlag og inkludere tall både fra starten og slutt i de aktuelle perioder. </t>
  </si>
  <si>
    <t>Gjennomsnittlig kapital for perioder brukes for å finne gjennomsnittlig kapital for den aktuelle periode. Gjennomsnittsberegninger bruke i alternative resultat mål blant annet for å finne avkastning i den aktuelle perioden på kapital.</t>
  </si>
  <si>
    <t>Kapital i aktuelle perioder summers og deles på antall perioder som inkluderes og gjennomsnittet over perioden beregnes. Banken bruker måneder som grunnlag slik at gjennomsnitt som fremkommer er basert på kapital i de måneder som inkluderes. Både inngående og utgående periode inkluderes. Slik at kvartalsvis gjennomsnitt inkluderer 4 perioder (måneder) og årlig gjennomsnitt inkludere 13 perioder.</t>
  </si>
  <si>
    <t>(IB+UB)/2</t>
  </si>
  <si>
    <t>(A8*365/A1)/(IB+UB)/2</t>
  </si>
  <si>
    <t>Avsteminger av alternative resultatmål -for året</t>
  </si>
  <si>
    <t xml:space="preserve"> - hvor tidligere brukt metodikk for beregning av gjennomsnitt er lagt til grunn</t>
  </si>
  <si>
    <t xml:space="preserve">Linjer markert med gult er her beregnet etter metodikk som tildligere ble benyttet ved berening av gjennomsnittlig kapital. Tidligere brukte banken IB+UB for perioden dividert på 2 </t>
  </si>
  <si>
    <t>Kostnadsprosenten reflekterer bankens/konsernets evne til å omsette sine driftskostnader til inntektservervelse. Kostnadsprosenten beregnes ved å dividere sum driftskostnader på sum inntekter fratrukket inntekter fra verdipapirer.</t>
  </si>
  <si>
    <t xml:space="preserve">I bankens egenkapital inkluderes fondsobligasjoner. Disse fondsobligasjonene har ikke rett på utbytte, men forrentes etter en avtalt rente, som ikke fratrekkes resultatet, men regnskapsmessig vedtas som disponert overskudd. For de øvrige eierene av egenkapital er det av interesse at egenkapitalen beregnes uten at fondsobligasjonene inkluderes for å vise avkastningen av deres andel av egenkapitalen. </t>
  </si>
  <si>
    <t>Egenkapitalavkastningen beregnes ved å dividere resultat etter skatt, fratrukket renter på fondsobligasjoner,  med gjennomsnitlig egenkapital, fratrukket gjennomsnittlig fondsobligasjoner siste året. Ved opplysninger av egenkapitalavkastning for kortere perioder enn hele regnskapsår blir periodens resultat annualisert.</t>
  </si>
  <si>
    <t>(Netto utlån til og fordringer på kunder pr dato+Bankens portefølje i EBK pr dato -Netto utlån til og fordringer på kunder for et år siden-Bankens portefølje i EBK for et år siden)/Netto utlån og fordringer på kunder for et år siden+Bankens portefølje i EBK for et år siden</t>
  </si>
  <si>
    <t>(Innskudd fra og gjeld til kunder i år pr dato- Innskudd fra og gjeld til kunder for et år siden)/Innskudd fra og gjeld til kunder for et år siden</t>
  </si>
  <si>
    <t xml:space="preserve">Nøkkeltallet viser periodens tapskostnad i prosent av netto utlån redusert for tapsavsetninger på balansetidspunktet. Nøkkeltallet er et mål på hvor stor andel tap relativt utgjør av lånbeløp og gir over tid et måltall for den risiko som bankens utlån har for tap. </t>
  </si>
  <si>
    <t>Nøkkeltallet angir resultatført tapskostnad i perioden dividert med netto utlån redusert for tapsavsetninger på balansetidspunktet. Ved opplysninger av tapsprosent utlån for kortere perioder enn hele regnskapsår blir resultatført tapskostnad annualisert.</t>
  </si>
  <si>
    <t>Egenkapitalbeviseiernes andel av resultatet dividert på gjennomsnittlig antall egenkapitalbevis.</t>
  </si>
  <si>
    <t>(Periodens resultat/Resultat for regnskapsåret-renter på fondsobligasjoner ) x Eierandelsbrøk/Gjrnnomsnittlig antall egenkapitalbevis</t>
  </si>
  <si>
    <t>Gjennomsnitlig utlånsrente på utlånsporteføljen i perioden fratrukket gjennomsnitlig rente på innskudd fra kunder i perioden.</t>
  </si>
  <si>
    <t>Gjennomsnittlig rente på netto utlån i perioden - Gjennomsnittlig rente på innskudd fra kunder i perioden</t>
  </si>
  <si>
    <t>Forvaltningskapital pr dato+ utlån formidlet via Eika Boligkreditt AS pr dato</t>
  </si>
  <si>
    <t>Netto utlån til kunder fratrukket tapsavstninger pr dato+Ulån formidlet via Eika Boligkreditt AS pr dato.</t>
  </si>
  <si>
    <t>1. kv. 23</t>
  </si>
  <si>
    <t>2. kv. 23</t>
  </si>
  <si>
    <t>3. kv. 23</t>
  </si>
  <si>
    <t>4 kv. 23</t>
  </si>
  <si>
    <t>30.09.2023</t>
  </si>
  <si>
    <t>31.12.2023</t>
  </si>
  <si>
    <t>1 kv. 24</t>
  </si>
  <si>
    <t>2 kv. 24</t>
  </si>
  <si>
    <t>3 kv. 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</si>
</sst>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5" x14ac:knownFonts="1">
    <font>
      <sz val="10"/>
      <color theme="1"/>
      <name val="Arial"/>
      <family val="2"/>
    </font>
    <font>
      <sz val="20"/>
      <color rgb="FF0070C0"/>
      <name val="Arial"/>
      <family val="2"/>
    </font>
    <font>
      <sz val="10"/>
      <color theme="1"/>
      <name val="Arial"/>
      <family val="2"/>
    </font>
    <font>
      <b/>
      <sz val="8"/>
      <name val="Lucida Sans"/>
      <family val="2"/>
    </font>
    <font>
      <sz val="8"/>
      <name val="Lucida Sans"/>
      <family val="2"/>
    </font>
    <font>
      <b/>
      <sz val="10"/>
      <name val="Lucida Sans"/>
      <family val="2"/>
    </font>
    <font>
      <b/>
      <sz val="8"/>
      <color indexed="8"/>
      <name val="Lucida Sans"/>
      <family val="2"/>
    </font>
    <font>
      <sz val="8"/>
      <color theme="1"/>
      <name val="Lucida Sans"/>
      <family val="2"/>
    </font>
    <font>
      <b/>
      <sz val="8"/>
      <color theme="1"/>
      <name val="Lucida Sans"/>
      <family val="2"/>
    </font>
    <font>
      <sz val="8"/>
      <color indexed="8"/>
      <name val="Lucida Sans"/>
      <family val="2"/>
    </font>
    <font>
      <sz val="8"/>
      <name val="Arial"/>
      <family val="2"/>
    </font>
    <font>
      <sz val="8"/>
      <color theme="1"/>
      <name val="Arial"/>
      <family val="2"/>
    </font>
    <font>
      <b/>
      <sz val="16"/>
      <color theme="1"/>
      <name val="Lucida Sans"/>
      <family val="2"/>
    </font>
    <font>
      <b/>
      <sz val="20"/>
      <name val="Arial"/>
      <family val="2"/>
    </font>
    <font>
      <sz val="10"/>
      <name val="Arial"/>
      <family val="2"/>
    </font>
  </fonts>
  <fills count="5">
    <fill>
      <patternFill patternType="none"/>
    </fill>
    <fill>
      <patternFill patternType="gray125"/>
    </fill>
    <fill>
      <patternFill patternType="solid">
        <fgColor rgb="FF00B0F0"/>
        <bgColor indexed="64"/>
      </patternFill>
    </fill>
    <fill>
      <patternFill patternType="solid">
        <fgColor theme="0"/>
        <bgColor indexed="64"/>
      </patternFill>
    </fill>
    <fill>
      <patternFill patternType="solid">
        <fgColor rgb="FFFFFF00"/>
        <bgColor indexed="64"/>
      </patternFill>
    </fill>
  </fills>
  <borders count="19">
    <border>
      <left/>
      <right/>
      <top/>
      <bottom/>
      <diagonal/>
    </border>
    <border>
      <left style="thin">
        <color indexed="64"/>
      </left>
      <right style="thin">
        <color indexed="64"/>
      </right>
      <top/>
      <bottom/>
      <diagonal/>
    </border>
    <border>
      <left/>
      <right/>
      <top/>
      <bottom style="thin">
        <color indexed="64"/>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s>
  <cellStyleXfs count="3">
    <xf numFmtId="0" fontId="0" fillId="0" borderId="0"/>
    <xf numFmtId="43" fontId="2" fillId="0" borderId="0" applyFont="0" applyFill="0" applyBorder="0" applyAlignment="0" applyProtection="0"/>
    <xf numFmtId="9" fontId="2" fillId="0" borderId="0" applyFont="0" applyFill="0" applyBorder="0" applyAlignment="0" applyProtection="0"/>
  </cellStyleXfs>
  <cellXfs count="166">
    <xf numFmtId="0" fontId="0" fillId="0" borderId="0" xfId="0"/>
    <xf numFmtId="0" fontId="0" fillId="0" borderId="0" xfId="0" applyAlignment="1">
      <alignment vertical="top"/>
    </xf>
    <xf numFmtId="0" fontId="0" fillId="0" borderId="0" xfId="0" applyAlignment="1">
      <alignment vertical="top" wrapText="1"/>
    </xf>
    <xf numFmtId="0" fontId="0" fillId="0" borderId="1" xfId="0" applyBorder="1" applyAlignment="1">
      <alignment vertical="top" wrapText="1"/>
    </xf>
    <xf numFmtId="0" fontId="0" fillId="2" borderId="0" xfId="0" applyFill="1"/>
    <xf numFmtId="0" fontId="0" fillId="2" borderId="1" xfId="0" applyFill="1" applyBorder="1"/>
    <xf numFmtId="0" fontId="0" fillId="2" borderId="0" xfId="0" applyFill="1" applyAlignment="1">
      <alignment vertical="top" wrapText="1"/>
    </xf>
    <xf numFmtId="0" fontId="0" fillId="2" borderId="1" xfId="0" applyFill="1" applyBorder="1" applyAlignment="1">
      <alignment vertical="top" wrapText="1"/>
    </xf>
    <xf numFmtId="0" fontId="1" fillId="0" borderId="0" xfId="0" applyFont="1"/>
    <xf numFmtId="0" fontId="0" fillId="0" borderId="0" xfId="0" applyAlignment="1">
      <alignment wrapText="1"/>
    </xf>
    <xf numFmtId="0" fontId="4" fillId="0" borderId="0" xfId="0" applyFont="1" applyAlignment="1">
      <alignment vertical="center"/>
    </xf>
    <xf numFmtId="0" fontId="4" fillId="3" borderId="0" xfId="0" applyFont="1" applyFill="1" applyAlignment="1">
      <alignment vertical="center"/>
    </xf>
    <xf numFmtId="3" fontId="4" fillId="3" borderId="0" xfId="0" applyNumberFormat="1" applyFont="1" applyFill="1" applyAlignment="1">
      <alignment horizontal="right" vertical="center"/>
    </xf>
    <xf numFmtId="3" fontId="7" fillId="3" borderId="0" xfId="0" applyNumberFormat="1" applyFont="1" applyFill="1" applyAlignment="1">
      <alignment horizontal="right" vertical="center"/>
    </xf>
    <xf numFmtId="0" fontId="4" fillId="3" borderId="3" xfId="0" applyFont="1" applyFill="1" applyBorder="1" applyAlignment="1">
      <alignment vertical="center"/>
    </xf>
    <xf numFmtId="3" fontId="4" fillId="3" borderId="3" xfId="0" applyNumberFormat="1" applyFont="1" applyFill="1" applyBorder="1" applyAlignment="1">
      <alignment horizontal="right" vertical="center"/>
    </xf>
    <xf numFmtId="3" fontId="7" fillId="3" borderId="3" xfId="0" applyNumberFormat="1" applyFont="1" applyFill="1" applyBorder="1" applyAlignment="1">
      <alignment horizontal="right" vertical="center"/>
    </xf>
    <xf numFmtId="0" fontId="3" fillId="3" borderId="0" xfId="0" applyFont="1" applyFill="1" applyAlignment="1">
      <alignment vertical="center"/>
    </xf>
    <xf numFmtId="3" fontId="3" fillId="3" borderId="0" xfId="0" applyNumberFormat="1" applyFont="1" applyFill="1" applyAlignment="1">
      <alignment horizontal="right" vertical="center"/>
    </xf>
    <xf numFmtId="3" fontId="8" fillId="3" borderId="0" xfId="0" applyNumberFormat="1" applyFont="1" applyFill="1" applyAlignment="1">
      <alignment horizontal="right" vertical="center"/>
    </xf>
    <xf numFmtId="3" fontId="9" fillId="3" borderId="0" xfId="0" applyNumberFormat="1" applyFont="1" applyFill="1" applyAlignment="1">
      <alignment horizontal="right" vertical="center"/>
    </xf>
    <xf numFmtId="3" fontId="0" fillId="0" borderId="0" xfId="0" applyNumberFormat="1"/>
    <xf numFmtId="3" fontId="4" fillId="0" borderId="0" xfId="0" applyNumberFormat="1" applyFont="1" applyAlignment="1">
      <alignment horizontal="right" vertical="center"/>
    </xf>
    <xf numFmtId="3" fontId="4" fillId="0" borderId="3" xfId="0" applyNumberFormat="1" applyFont="1" applyBorder="1" applyAlignment="1">
      <alignment horizontal="right" vertical="center"/>
    </xf>
    <xf numFmtId="3" fontId="3" fillId="0" borderId="0" xfId="0" applyNumberFormat="1" applyFont="1" applyAlignment="1">
      <alignment horizontal="right" vertical="center"/>
    </xf>
    <xf numFmtId="0" fontId="0" fillId="3" borderId="0" xfId="0" applyFill="1"/>
    <xf numFmtId="2" fontId="4" fillId="3" borderId="0" xfId="0" applyNumberFormat="1" applyFont="1" applyFill="1" applyAlignment="1">
      <alignment horizontal="right" vertical="center"/>
    </xf>
    <xf numFmtId="0" fontId="4" fillId="3" borderId="0" xfId="0" applyFont="1" applyFill="1" applyAlignment="1">
      <alignment horizontal="right" vertical="center"/>
    </xf>
    <xf numFmtId="0" fontId="7" fillId="0" borderId="0" xfId="0" applyFont="1"/>
    <xf numFmtId="0" fontId="7" fillId="3" borderId="0" xfId="0" applyFont="1" applyFill="1"/>
    <xf numFmtId="164" fontId="7" fillId="3" borderId="0" xfId="1" applyNumberFormat="1" applyFont="1" applyFill="1"/>
    <xf numFmtId="0" fontId="4" fillId="3" borderId="0" xfId="0" applyFont="1" applyFill="1"/>
    <xf numFmtId="3" fontId="7" fillId="0" borderId="0" xfId="0" applyNumberFormat="1" applyFont="1"/>
    <xf numFmtId="0" fontId="12" fillId="2" borderId="4" xfId="0" applyFont="1" applyFill="1" applyBorder="1"/>
    <xf numFmtId="0" fontId="7" fillId="2" borderId="5" xfId="0" applyFont="1" applyFill="1" applyBorder="1"/>
    <xf numFmtId="0" fontId="7" fillId="2" borderId="6" xfId="0" applyFont="1" applyFill="1" applyBorder="1"/>
    <xf numFmtId="0" fontId="0" fillId="2" borderId="7" xfId="0" applyFill="1" applyBorder="1"/>
    <xf numFmtId="0" fontId="0" fillId="2" borderId="0" xfId="0" applyFill="1" applyBorder="1"/>
    <xf numFmtId="0" fontId="7" fillId="2" borderId="0" xfId="0" applyFont="1" applyFill="1" applyBorder="1"/>
    <xf numFmtId="0" fontId="7" fillId="2" borderId="8" xfId="0" applyFont="1" applyFill="1" applyBorder="1"/>
    <xf numFmtId="0" fontId="5" fillId="2" borderId="7" xfId="0" applyFont="1" applyFill="1" applyBorder="1" applyAlignment="1">
      <alignment vertical="center"/>
    </xf>
    <xf numFmtId="0" fontId="7" fillId="0" borderId="7" xfId="0" applyFont="1" applyBorder="1"/>
    <xf numFmtId="0" fontId="7" fillId="0" borderId="0" xfId="0" applyFont="1" applyBorder="1"/>
    <xf numFmtId="0" fontId="7" fillId="0" borderId="8" xfId="0" applyFont="1" applyBorder="1"/>
    <xf numFmtId="0" fontId="4" fillId="0" borderId="7" xfId="0" applyFont="1" applyBorder="1" applyAlignment="1">
      <alignment vertical="center"/>
    </xf>
    <xf numFmtId="3" fontId="7" fillId="0" borderId="0" xfId="0" applyNumberFormat="1" applyFont="1" applyBorder="1"/>
    <xf numFmtId="3" fontId="7" fillId="0" borderId="8" xfId="0" applyNumberFormat="1" applyFont="1" applyBorder="1"/>
    <xf numFmtId="0" fontId="4" fillId="2" borderId="7" xfId="0" applyFont="1" applyFill="1" applyBorder="1" applyAlignment="1">
      <alignment vertical="center"/>
    </xf>
    <xf numFmtId="3" fontId="7" fillId="2" borderId="0" xfId="0" applyNumberFormat="1" applyFont="1" applyFill="1" applyBorder="1"/>
    <xf numFmtId="3" fontId="7" fillId="2" borderId="8" xfId="0" applyNumberFormat="1" applyFont="1" applyFill="1" applyBorder="1"/>
    <xf numFmtId="10" fontId="7" fillId="2" borderId="0" xfId="2" applyNumberFormat="1" applyFont="1" applyFill="1" applyBorder="1"/>
    <xf numFmtId="10" fontId="7" fillId="2" borderId="8" xfId="2" applyNumberFormat="1" applyFont="1" applyFill="1" applyBorder="1"/>
    <xf numFmtId="10" fontId="7" fillId="0" borderId="0" xfId="2" applyNumberFormat="1" applyFont="1" applyBorder="1"/>
    <xf numFmtId="10" fontId="7" fillId="0" borderId="8" xfId="2" applyNumberFormat="1" applyFont="1" applyBorder="1"/>
    <xf numFmtId="43" fontId="7" fillId="0" borderId="0" xfId="1" applyFont="1" applyBorder="1"/>
    <xf numFmtId="43" fontId="7" fillId="0" borderId="8" xfId="1" applyFont="1" applyBorder="1"/>
    <xf numFmtId="2" fontId="7" fillId="0" borderId="0" xfId="0" applyNumberFormat="1" applyFont="1" applyBorder="1"/>
    <xf numFmtId="2" fontId="7" fillId="0" borderId="8" xfId="0" applyNumberFormat="1" applyFont="1" applyBorder="1"/>
    <xf numFmtId="43" fontId="7" fillId="0" borderId="0" xfId="1" applyNumberFormat="1" applyFont="1" applyBorder="1"/>
    <xf numFmtId="43" fontId="7" fillId="0" borderId="8" xfId="1" applyNumberFormat="1" applyFont="1" applyBorder="1"/>
    <xf numFmtId="0" fontId="7" fillId="0" borderId="9" xfId="0" applyFont="1" applyBorder="1"/>
    <xf numFmtId="3" fontId="7" fillId="0" borderId="10" xfId="0" applyNumberFormat="1" applyFont="1" applyBorder="1"/>
    <xf numFmtId="3" fontId="7" fillId="0" borderId="11" xfId="0" applyNumberFormat="1" applyFont="1" applyBorder="1"/>
    <xf numFmtId="0" fontId="7" fillId="0" borderId="13" xfId="0" applyFont="1" applyBorder="1"/>
    <xf numFmtId="0" fontId="4" fillId="0" borderId="13" xfId="0" applyFont="1" applyBorder="1" applyAlignment="1">
      <alignment vertical="center"/>
    </xf>
    <xf numFmtId="0" fontId="4" fillId="2" borderId="13" xfId="0" applyFont="1" applyFill="1" applyBorder="1" applyAlignment="1">
      <alignment vertical="center"/>
    </xf>
    <xf numFmtId="0" fontId="4" fillId="2" borderId="13" xfId="0" quotePrefix="1" applyFont="1" applyFill="1" applyBorder="1" applyAlignment="1">
      <alignment vertical="center"/>
    </xf>
    <xf numFmtId="0" fontId="4" fillId="0" borderId="13" xfId="0" quotePrefix="1" applyFont="1" applyBorder="1" applyAlignment="1">
      <alignment vertical="center"/>
    </xf>
    <xf numFmtId="0" fontId="7" fillId="0" borderId="13" xfId="0" quotePrefix="1" applyFont="1" applyBorder="1"/>
    <xf numFmtId="0" fontId="7" fillId="0" borderId="14" xfId="0" quotePrefix="1" applyFont="1" applyBorder="1"/>
    <xf numFmtId="0" fontId="7" fillId="2" borderId="7" xfId="0" applyFont="1" applyFill="1" applyBorder="1"/>
    <xf numFmtId="10" fontId="4" fillId="2" borderId="0" xfId="2" applyNumberFormat="1" applyFont="1" applyFill="1" applyBorder="1"/>
    <xf numFmtId="10" fontId="4" fillId="2" borderId="8" xfId="2" applyNumberFormat="1" applyFont="1" applyFill="1" applyBorder="1"/>
    <xf numFmtId="2" fontId="7" fillId="2" borderId="0" xfId="0" applyNumberFormat="1" applyFont="1" applyFill="1" applyBorder="1"/>
    <xf numFmtId="2" fontId="7" fillId="2" borderId="8" xfId="0" applyNumberFormat="1" applyFont="1" applyFill="1" applyBorder="1"/>
    <xf numFmtId="164" fontId="7" fillId="2" borderId="0" xfId="1" applyNumberFormat="1" applyFont="1" applyFill="1" applyBorder="1"/>
    <xf numFmtId="164" fontId="7" fillId="2" borderId="8" xfId="1" applyNumberFormat="1" applyFont="1" applyFill="1" applyBorder="1"/>
    <xf numFmtId="0" fontId="7" fillId="2" borderId="13" xfId="0" applyFont="1" applyFill="1" applyBorder="1"/>
    <xf numFmtId="0" fontId="7" fillId="2" borderId="13" xfId="0" quotePrefix="1" applyFont="1" applyFill="1" applyBorder="1"/>
    <xf numFmtId="0" fontId="3" fillId="0" borderId="7" xfId="0" applyFont="1" applyBorder="1" applyAlignment="1">
      <alignment vertical="center"/>
    </xf>
    <xf numFmtId="0" fontId="7" fillId="0" borderId="0" xfId="0" applyFont="1" applyBorder="1" applyAlignment="1">
      <alignment horizontal="right"/>
    </xf>
    <xf numFmtId="0" fontId="7" fillId="0" borderId="8" xfId="0" applyFont="1" applyBorder="1" applyAlignment="1">
      <alignment horizontal="right"/>
    </xf>
    <xf numFmtId="3" fontId="7" fillId="3" borderId="0" xfId="0" applyNumberFormat="1" applyFont="1" applyFill="1" applyBorder="1"/>
    <xf numFmtId="3" fontId="7" fillId="3" borderId="8" xfId="0" applyNumberFormat="1" applyFont="1" applyFill="1" applyBorder="1"/>
    <xf numFmtId="0" fontId="5" fillId="0" borderId="13" xfId="0" applyFont="1" applyBorder="1" applyAlignment="1">
      <alignment vertical="center"/>
    </xf>
    <xf numFmtId="43" fontId="7" fillId="2" borderId="10" xfId="1" applyNumberFormat="1" applyFont="1" applyFill="1" applyBorder="1"/>
    <xf numFmtId="43" fontId="7" fillId="2" borderId="11" xfId="1" applyNumberFormat="1" applyFont="1" applyFill="1" applyBorder="1"/>
    <xf numFmtId="0" fontId="13" fillId="0" borderId="0" xfId="0" applyFont="1" applyFill="1"/>
    <xf numFmtId="0" fontId="8" fillId="2" borderId="0" xfId="0" applyFont="1" applyFill="1" applyBorder="1" applyAlignment="1">
      <alignment horizontal="right"/>
    </xf>
    <xf numFmtId="0" fontId="8" fillId="2" borderId="8" xfId="0" applyFont="1" applyFill="1" applyBorder="1" applyAlignment="1">
      <alignment horizontal="right"/>
    </xf>
    <xf numFmtId="0" fontId="5" fillId="2" borderId="2" xfId="0" applyFont="1" applyFill="1" applyBorder="1" applyAlignment="1">
      <alignment vertical="center"/>
    </xf>
    <xf numFmtId="0" fontId="6" fillId="2" borderId="2" xfId="0" applyFont="1" applyFill="1" applyBorder="1" applyAlignment="1">
      <alignment horizontal="right" vertical="center"/>
    </xf>
    <xf numFmtId="0" fontId="3" fillId="2" borderId="2" xfId="0" applyFont="1" applyFill="1" applyBorder="1" applyAlignment="1">
      <alignment horizontal="right" vertical="center"/>
    </xf>
    <xf numFmtId="0" fontId="3" fillId="2" borderId="2" xfId="0" applyFont="1" applyFill="1" applyBorder="1" applyAlignment="1">
      <alignment vertical="center"/>
    </xf>
    <xf numFmtId="14" fontId="6" fillId="2" borderId="2" xfId="0" applyNumberFormat="1" applyFont="1" applyFill="1" applyBorder="1" applyAlignment="1">
      <alignment horizontal="right" vertical="center"/>
    </xf>
    <xf numFmtId="0" fontId="7" fillId="0" borderId="0" xfId="0" applyFont="1" applyAlignment="1">
      <alignment horizontal="left"/>
    </xf>
    <xf numFmtId="0" fontId="3" fillId="3" borderId="15" xfId="0" applyFont="1" applyFill="1" applyBorder="1" applyAlignment="1">
      <alignment vertical="center"/>
    </xf>
    <xf numFmtId="3" fontId="3" fillId="3" borderId="15" xfId="0" applyNumberFormat="1" applyFont="1" applyFill="1" applyBorder="1" applyAlignment="1">
      <alignment horizontal="right" vertical="center"/>
    </xf>
    <xf numFmtId="3" fontId="8" fillId="3" borderId="15" xfId="0" applyNumberFormat="1" applyFont="1" applyFill="1" applyBorder="1" applyAlignment="1">
      <alignment horizontal="right" vertical="center"/>
    </xf>
    <xf numFmtId="3" fontId="3" fillId="0" borderId="15" xfId="0" applyNumberFormat="1" applyFont="1" applyBorder="1" applyAlignment="1">
      <alignment horizontal="right" vertical="center"/>
    </xf>
    <xf numFmtId="0" fontId="6" fillId="2" borderId="16" xfId="0" applyFont="1" applyFill="1" applyBorder="1" applyAlignment="1">
      <alignment horizontal="left" vertical="center"/>
    </xf>
    <xf numFmtId="3" fontId="4" fillId="3" borderId="1" xfId="0" applyNumberFormat="1" applyFont="1" applyFill="1" applyBorder="1" applyAlignment="1">
      <alignment horizontal="left" vertical="center"/>
    </xf>
    <xf numFmtId="3" fontId="4" fillId="3" borderId="17" xfId="0" applyNumberFormat="1" applyFont="1" applyFill="1" applyBorder="1" applyAlignment="1">
      <alignment horizontal="left" vertical="center"/>
    </xf>
    <xf numFmtId="3" fontId="3" fillId="3" borderId="16" xfId="0" applyNumberFormat="1" applyFont="1" applyFill="1" applyBorder="1" applyAlignment="1">
      <alignment horizontal="left" vertical="center"/>
    </xf>
    <xf numFmtId="3" fontId="3" fillId="3" borderId="1" xfId="0" applyNumberFormat="1" applyFont="1" applyFill="1" applyBorder="1" applyAlignment="1">
      <alignment horizontal="left" vertical="center"/>
    </xf>
    <xf numFmtId="0" fontId="7" fillId="3" borderId="1" xfId="0" applyFont="1" applyFill="1" applyBorder="1" applyAlignment="1">
      <alignment horizontal="left"/>
    </xf>
    <xf numFmtId="0" fontId="7" fillId="0" borderId="1" xfId="0" applyFont="1" applyBorder="1" applyAlignment="1">
      <alignment horizontal="left"/>
    </xf>
    <xf numFmtId="0" fontId="3" fillId="2" borderId="18" xfId="0" applyFont="1" applyFill="1" applyBorder="1" applyAlignment="1">
      <alignment horizontal="left" vertical="center"/>
    </xf>
    <xf numFmtId="0" fontId="4" fillId="3" borderId="1" xfId="0" applyFont="1" applyFill="1" applyBorder="1" applyAlignment="1">
      <alignment horizontal="left" vertical="center"/>
    </xf>
    <xf numFmtId="0" fontId="7" fillId="2" borderId="1" xfId="0" applyFont="1" applyFill="1" applyBorder="1" applyAlignment="1">
      <alignment horizontal="left"/>
    </xf>
    <xf numFmtId="0" fontId="7" fillId="0" borderId="18" xfId="0" applyFont="1" applyBorder="1" applyAlignment="1">
      <alignment horizontal="left"/>
    </xf>
    <xf numFmtId="3" fontId="4" fillId="3" borderId="17" xfId="0" applyNumberFormat="1" applyFont="1" applyFill="1" applyBorder="1" applyAlignment="1">
      <alignment horizontal="right" vertical="center"/>
    </xf>
    <xf numFmtId="3" fontId="4" fillId="3" borderId="1" xfId="0" applyNumberFormat="1" applyFont="1" applyFill="1" applyBorder="1" applyAlignment="1">
      <alignment horizontal="right" vertical="center"/>
    </xf>
    <xf numFmtId="0" fontId="5" fillId="2" borderId="12" xfId="0" applyFont="1" applyFill="1" applyBorder="1" applyAlignment="1">
      <alignment vertical="center"/>
    </xf>
    <xf numFmtId="0" fontId="0" fillId="2" borderId="10" xfId="0" applyFill="1" applyBorder="1"/>
    <xf numFmtId="0" fontId="7" fillId="2" borderId="0" xfId="0" applyFont="1" applyFill="1" applyBorder="1" applyAlignment="1"/>
    <xf numFmtId="0" fontId="7" fillId="2" borderId="8" xfId="0" applyFont="1" applyFill="1" applyBorder="1" applyAlignment="1"/>
    <xf numFmtId="43" fontId="4" fillId="2" borderId="0" xfId="0" applyNumberFormat="1" applyFont="1" applyFill="1" applyBorder="1" applyAlignment="1"/>
    <xf numFmtId="43" fontId="7" fillId="2" borderId="0" xfId="0" applyNumberFormat="1" applyFont="1" applyFill="1" applyBorder="1" applyAlignment="1"/>
    <xf numFmtId="43" fontId="7" fillId="2" borderId="8" xfId="0" applyNumberFormat="1" applyFont="1" applyFill="1" applyBorder="1" applyAlignment="1"/>
    <xf numFmtId="0" fontId="7" fillId="0" borderId="0" xfId="0" applyFont="1" applyBorder="1" applyAlignment="1"/>
    <xf numFmtId="0" fontId="7" fillId="0" borderId="8" xfId="0" applyFont="1" applyBorder="1" applyAlignment="1"/>
    <xf numFmtId="164" fontId="7" fillId="0" borderId="0" xfId="0" applyNumberFormat="1" applyFont="1" applyBorder="1" applyAlignment="1"/>
    <xf numFmtId="164" fontId="7" fillId="0" borderId="8" xfId="0" applyNumberFormat="1" applyFont="1" applyBorder="1" applyAlignment="1"/>
    <xf numFmtId="43" fontId="7" fillId="0" borderId="0" xfId="0" applyNumberFormat="1" applyFont="1" applyBorder="1" applyAlignment="1"/>
    <xf numFmtId="43" fontId="7" fillId="0" borderId="8" xfId="0" applyNumberFormat="1" applyFont="1" applyBorder="1" applyAlignment="1"/>
    <xf numFmtId="0" fontId="11" fillId="0" borderId="0" xfId="0" applyFont="1"/>
    <xf numFmtId="0" fontId="7" fillId="2" borderId="9" xfId="0" applyFont="1" applyFill="1" applyBorder="1"/>
    <xf numFmtId="3" fontId="4" fillId="3" borderId="17" xfId="0" applyNumberFormat="1" applyFont="1" applyFill="1" applyBorder="1" applyAlignment="1">
      <alignment horizontal="left"/>
    </xf>
    <xf numFmtId="14" fontId="8" fillId="2" borderId="0" xfId="0" applyNumberFormat="1" applyFont="1" applyFill="1" applyBorder="1" applyAlignment="1">
      <alignment horizontal="right"/>
    </xf>
    <xf numFmtId="14" fontId="8" fillId="2" borderId="8" xfId="0" applyNumberFormat="1" applyFont="1" applyFill="1" applyBorder="1" applyAlignment="1">
      <alignment horizontal="right"/>
    </xf>
    <xf numFmtId="0" fontId="4" fillId="0" borderId="0" xfId="0" applyFont="1" applyBorder="1" applyAlignment="1">
      <alignment vertical="center"/>
    </xf>
    <xf numFmtId="0" fontId="5" fillId="0" borderId="0" xfId="0" applyFont="1" applyBorder="1" applyAlignment="1">
      <alignment vertical="center"/>
    </xf>
    <xf numFmtId="14" fontId="5" fillId="2" borderId="0" xfId="0" applyNumberFormat="1" applyFont="1" applyFill="1" applyBorder="1" applyAlignment="1">
      <alignment vertical="center"/>
    </xf>
    <xf numFmtId="0" fontId="14" fillId="0" borderId="0" xfId="0" applyFont="1" applyAlignment="1">
      <alignment vertical="top" wrapText="1"/>
    </xf>
    <xf numFmtId="0" fontId="14" fillId="0" borderId="1" xfId="0" applyFont="1" applyFill="1" applyBorder="1" applyAlignment="1">
      <alignment vertical="top" wrapText="1"/>
    </xf>
    <xf numFmtId="0" fontId="12" fillId="2" borderId="7" xfId="0" applyFont="1" applyFill="1" applyBorder="1"/>
    <xf numFmtId="0" fontId="4" fillId="4" borderId="7" xfId="0" applyFont="1" applyFill="1" applyBorder="1" applyAlignment="1">
      <alignment vertical="center"/>
    </xf>
    <xf numFmtId="0" fontId="4" fillId="4" borderId="13" xfId="0" applyFont="1" applyFill="1" applyBorder="1" applyAlignment="1">
      <alignment vertical="center"/>
    </xf>
    <xf numFmtId="3" fontId="7" fillId="4" borderId="0" xfId="0" applyNumberFormat="1" applyFont="1" applyFill="1" applyBorder="1"/>
    <xf numFmtId="0" fontId="7" fillId="4" borderId="7" xfId="0" applyFont="1" applyFill="1" applyBorder="1"/>
    <xf numFmtId="0" fontId="0" fillId="2" borderId="5" xfId="0" applyFill="1" applyBorder="1"/>
    <xf numFmtId="3" fontId="7" fillId="4" borderId="8" xfId="0" applyNumberFormat="1" applyFont="1" applyFill="1" applyBorder="1"/>
    <xf numFmtId="0" fontId="11" fillId="4" borderId="9" xfId="0" applyFont="1" applyFill="1" applyBorder="1"/>
    <xf numFmtId="0" fontId="0" fillId="4" borderId="10" xfId="0" applyFill="1" applyBorder="1"/>
    <xf numFmtId="0" fontId="7" fillId="4" borderId="10" xfId="0" applyFont="1" applyFill="1" applyBorder="1"/>
    <xf numFmtId="0" fontId="7" fillId="0" borderId="11" xfId="0" applyFont="1" applyBorder="1"/>
    <xf numFmtId="3" fontId="4" fillId="2" borderId="0" xfId="0" applyNumberFormat="1" applyFont="1" applyFill="1" applyBorder="1"/>
    <xf numFmtId="3" fontId="4" fillId="2" borderId="8" xfId="0" applyNumberFormat="1" applyFont="1" applyFill="1" applyBorder="1"/>
    <xf numFmtId="0" fontId="14" fillId="0" borderId="1" xfId="0" applyFont="1" applyBorder="1" applyAlignment="1">
      <alignment vertical="top" wrapText="1"/>
    </xf>
    <xf numFmtId="3" fontId="4" fillId="3" borderId="0" xfId="0" applyNumberFormat="1" applyFont="1" applyFill="1" applyBorder="1" applyAlignment="1">
      <alignment horizontal="left" vertical="center"/>
    </xf>
    <xf numFmtId="3" fontId="3" fillId="3" borderId="0" xfId="0" applyNumberFormat="1" applyFont="1" applyFill="1" applyBorder="1" applyAlignment="1">
      <alignment horizontal="left" vertical="center"/>
    </xf>
    <xf numFmtId="0" fontId="7" fillId="3" borderId="0" xfId="0" applyFont="1" applyFill="1" applyBorder="1" applyAlignment="1">
      <alignment horizontal="left"/>
    </xf>
    <xf numFmtId="0" fontId="7" fillId="0" borderId="0" xfId="0" applyFont="1" applyBorder="1" applyAlignment="1">
      <alignment horizontal="left"/>
    </xf>
    <xf numFmtId="3" fontId="4" fillId="3" borderId="0" xfId="0" applyNumberFormat="1" applyFont="1" applyFill="1" applyBorder="1" applyAlignment="1">
      <alignment horizontal="right" vertical="center"/>
    </xf>
    <xf numFmtId="164" fontId="4" fillId="3" borderId="0" xfId="1" applyNumberFormat="1" applyFont="1" applyFill="1" applyBorder="1" applyAlignment="1">
      <alignment horizontal="right" vertical="center"/>
    </xf>
    <xf numFmtId="14" fontId="6" fillId="2" borderId="2" xfId="0" applyNumberFormat="1" applyFont="1" applyFill="1" applyBorder="1" applyAlignment="1">
      <alignment vertical="center"/>
    </xf>
    <xf numFmtId="3" fontId="4" fillId="3" borderId="0" xfId="0" applyNumberFormat="1" applyFont="1" applyFill="1" applyAlignment="1">
      <alignment vertical="center"/>
    </xf>
    <xf numFmtId="0" fontId="7" fillId="3" borderId="0" xfId="0" applyFont="1" applyFill="1" applyAlignment="1"/>
    <xf numFmtId="0" fontId="4" fillId="3" borderId="0" xfId="0" applyFont="1" applyFill="1" applyBorder="1" applyAlignment="1">
      <alignment vertical="center"/>
    </xf>
    <xf numFmtId="0" fontId="7" fillId="3" borderId="0" xfId="0" applyFont="1" applyFill="1" applyBorder="1" applyAlignment="1"/>
    <xf numFmtId="3" fontId="3" fillId="3" borderId="0" xfId="0" applyNumberFormat="1" applyFont="1" applyFill="1" applyBorder="1" applyAlignment="1">
      <alignment horizontal="right" vertical="center"/>
    </xf>
    <xf numFmtId="0" fontId="7" fillId="0" borderId="0" xfId="0" applyFont="1" applyAlignment="1">
      <alignment horizontal="right"/>
    </xf>
    <xf numFmtId="0" fontId="3" fillId="2" borderId="2" xfId="0" quotePrefix="1" applyFont="1" applyFill="1" applyBorder="1" applyAlignment="1">
      <alignment horizontal="right" vertical="center"/>
    </xf>
    <xf numFmtId="14" fontId="3" fillId="2" borderId="2" xfId="0" quotePrefix="1" applyNumberFormat="1" applyFont="1" applyFill="1" applyBorder="1" applyAlignment="1">
      <alignment horizontal="right" vertical="center"/>
    </xf>
    <xf numFmtId="14" fontId="6" fillId="2" borderId="2" xfId="0" quotePrefix="1" applyNumberFormat="1" applyFont="1" applyFill="1" applyBorder="1" applyAlignment="1">
      <alignment horizontal="right" vertical="center"/>
    </xf>
  </cellXfs>
  <cellStyles count="3">
    <cellStyle name="Komma" xfId="1" builtinId="3"/>
    <cellStyle name="Normal" xfId="0" builtinId="0"/>
    <cellStyle name="Pros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D4FD2E-4AF7-498C-933B-CE093A8409ED}">
  <sheetPr>
    <pageSetUpPr fitToPage="1"/>
  </sheetPr>
  <dimension ref="A1:G25"/>
  <sheetViews>
    <sheetView topLeftCell="C1" zoomScale="93" zoomScaleNormal="93" workbookViewId="0">
      <selection activeCell="C1" sqref="C1"/>
    </sheetView>
  </sheetViews>
  <sheetFormatPr baseColWidth="10" defaultRowHeight="12.75" x14ac:dyDescent="0.2"/>
  <cols>
    <col min="1" max="1" width="27" hidden="1" customWidth="1"/>
    <col min="2" max="2" width="21.7109375" hidden="1" customWidth="1"/>
    <col min="3" max="3" width="29" customWidth="1"/>
    <col min="4" max="4" width="93.42578125" customWidth="1"/>
    <col min="5" max="5" width="99.140625" customWidth="1"/>
    <col min="6" max="6" width="38.85546875" bestFit="1" customWidth="1"/>
    <col min="7" max="7" width="37.7109375" customWidth="1"/>
  </cols>
  <sheetData>
    <row r="1" spans="1:7" ht="26.25" x14ac:dyDescent="0.4">
      <c r="C1" s="87" t="s">
        <v>10</v>
      </c>
      <c r="D1" s="8"/>
    </row>
    <row r="3" spans="1:7" x14ac:dyDescent="0.2">
      <c r="C3" s="4"/>
      <c r="D3" s="5" t="s">
        <v>13</v>
      </c>
      <c r="E3" s="5" t="s">
        <v>14</v>
      </c>
      <c r="F3" s="4" t="s">
        <v>15</v>
      </c>
    </row>
    <row r="4" spans="1:7" x14ac:dyDescent="0.2">
      <c r="A4" t="s">
        <v>11</v>
      </c>
      <c r="B4" t="s">
        <v>12</v>
      </c>
      <c r="C4" s="4"/>
      <c r="D4" s="5" t="s">
        <v>0</v>
      </c>
      <c r="E4" s="5" t="s">
        <v>1</v>
      </c>
      <c r="F4" s="4" t="s">
        <v>2</v>
      </c>
    </row>
    <row r="5" spans="1:7" ht="51" x14ac:dyDescent="0.2">
      <c r="A5" s="1"/>
      <c r="B5" s="1"/>
      <c r="C5" s="2" t="s">
        <v>52</v>
      </c>
      <c r="D5" s="3" t="s">
        <v>47</v>
      </c>
      <c r="E5" s="3" t="s">
        <v>3</v>
      </c>
      <c r="F5" s="2" t="s">
        <v>107</v>
      </c>
      <c r="G5" s="2"/>
    </row>
    <row r="6" spans="1:7" ht="38.25" x14ac:dyDescent="0.2">
      <c r="A6" s="1"/>
      <c r="B6" s="1"/>
      <c r="C6" s="6" t="s">
        <v>26</v>
      </c>
      <c r="D6" s="7" t="s">
        <v>4</v>
      </c>
      <c r="E6" s="7" t="s">
        <v>5</v>
      </c>
      <c r="F6" s="6" t="s">
        <v>57</v>
      </c>
    </row>
    <row r="7" spans="1:7" ht="51" x14ac:dyDescent="0.2">
      <c r="A7" s="1"/>
      <c r="B7" s="1"/>
      <c r="C7" s="2" t="s">
        <v>27</v>
      </c>
      <c r="D7" s="3" t="s">
        <v>53</v>
      </c>
      <c r="E7" s="3" t="s">
        <v>219</v>
      </c>
      <c r="F7" s="2" t="s">
        <v>58</v>
      </c>
    </row>
    <row r="8" spans="1:7" ht="38.25" x14ac:dyDescent="0.2">
      <c r="C8" s="6" t="s">
        <v>16</v>
      </c>
      <c r="D8" s="7" t="s">
        <v>54</v>
      </c>
      <c r="E8" s="7" t="s">
        <v>55</v>
      </c>
      <c r="F8" s="6" t="s">
        <v>56</v>
      </c>
      <c r="G8" s="9"/>
    </row>
    <row r="9" spans="1:7" ht="51" x14ac:dyDescent="0.2">
      <c r="C9" s="2" t="s">
        <v>17</v>
      </c>
      <c r="D9" s="3" t="s">
        <v>220</v>
      </c>
      <c r="E9" s="3" t="s">
        <v>221</v>
      </c>
      <c r="F9" s="2" t="s">
        <v>206</v>
      </c>
      <c r="G9" s="9"/>
    </row>
    <row r="10" spans="1:7" ht="25.5" x14ac:dyDescent="0.2">
      <c r="C10" s="6" t="s">
        <v>6</v>
      </c>
      <c r="D10" s="7" t="s">
        <v>19</v>
      </c>
      <c r="E10" s="7" t="s">
        <v>7</v>
      </c>
      <c r="F10" s="6" t="s">
        <v>18</v>
      </c>
    </row>
    <row r="11" spans="1:7" ht="51" x14ac:dyDescent="0.2">
      <c r="C11" s="2" t="s">
        <v>29</v>
      </c>
      <c r="D11" s="3" t="s">
        <v>59</v>
      </c>
      <c r="E11" s="3" t="s">
        <v>31</v>
      </c>
      <c r="F11" s="2" t="s">
        <v>31</v>
      </c>
    </row>
    <row r="12" spans="1:7" ht="54.75" customHeight="1" x14ac:dyDescent="0.2">
      <c r="C12" s="6" t="s">
        <v>8</v>
      </c>
      <c r="D12" s="7" t="s">
        <v>20</v>
      </c>
      <c r="E12" s="7" t="s">
        <v>9</v>
      </c>
      <c r="F12" s="6" t="s">
        <v>60</v>
      </c>
    </row>
    <row r="13" spans="1:7" ht="89.25" x14ac:dyDescent="0.2">
      <c r="C13" s="2" t="s">
        <v>30</v>
      </c>
      <c r="D13" s="3" t="s">
        <v>22</v>
      </c>
      <c r="E13" s="3" t="s">
        <v>21</v>
      </c>
      <c r="F13" s="2" t="s">
        <v>222</v>
      </c>
    </row>
    <row r="14" spans="1:7" ht="51" x14ac:dyDescent="0.2">
      <c r="C14" s="6" t="s">
        <v>23</v>
      </c>
      <c r="D14" s="7" t="s">
        <v>24</v>
      </c>
      <c r="E14" s="7" t="s">
        <v>25</v>
      </c>
      <c r="F14" s="6" t="s">
        <v>223</v>
      </c>
    </row>
    <row r="15" spans="1:7" ht="25.5" x14ac:dyDescent="0.2">
      <c r="C15" s="134" t="s">
        <v>28</v>
      </c>
      <c r="D15" s="149" t="s">
        <v>45</v>
      </c>
      <c r="E15" s="149" t="s">
        <v>46</v>
      </c>
      <c r="F15" s="134" t="s">
        <v>51</v>
      </c>
    </row>
    <row r="16" spans="1:7" ht="38.25" x14ac:dyDescent="0.2">
      <c r="C16" s="6" t="s">
        <v>48</v>
      </c>
      <c r="D16" s="7" t="s">
        <v>224</v>
      </c>
      <c r="E16" s="7" t="s">
        <v>225</v>
      </c>
      <c r="F16" s="6" t="s">
        <v>61</v>
      </c>
    </row>
    <row r="17" spans="3:6" ht="25.5" x14ac:dyDescent="0.2">
      <c r="C17" s="2" t="s">
        <v>32</v>
      </c>
      <c r="D17" s="3" t="s">
        <v>49</v>
      </c>
      <c r="E17" s="3" t="s">
        <v>50</v>
      </c>
      <c r="F17" s="2" t="s">
        <v>62</v>
      </c>
    </row>
    <row r="18" spans="3:6" ht="51" x14ac:dyDescent="0.2">
      <c r="C18" s="6" t="s">
        <v>33</v>
      </c>
      <c r="D18" s="7" t="s">
        <v>34</v>
      </c>
      <c r="E18" s="7" t="s">
        <v>226</v>
      </c>
      <c r="F18" s="6" t="s">
        <v>227</v>
      </c>
    </row>
    <row r="19" spans="3:6" ht="25.5" x14ac:dyDescent="0.2">
      <c r="C19" s="2" t="s">
        <v>36</v>
      </c>
      <c r="D19" s="3" t="s">
        <v>37</v>
      </c>
      <c r="E19" s="3" t="s">
        <v>41</v>
      </c>
      <c r="F19" s="2" t="s">
        <v>42</v>
      </c>
    </row>
    <row r="20" spans="3:6" ht="38.25" x14ac:dyDescent="0.2">
      <c r="C20" s="6" t="s">
        <v>35</v>
      </c>
      <c r="D20" s="7" t="s">
        <v>38</v>
      </c>
      <c r="E20" s="7" t="s">
        <v>43</v>
      </c>
      <c r="F20" s="6" t="s">
        <v>44</v>
      </c>
    </row>
    <row r="21" spans="3:6" ht="38.25" x14ac:dyDescent="0.2">
      <c r="C21" s="2" t="s">
        <v>39</v>
      </c>
      <c r="D21" s="3" t="s">
        <v>40</v>
      </c>
      <c r="E21" s="3" t="s">
        <v>228</v>
      </c>
      <c r="F21" s="2" t="s">
        <v>229</v>
      </c>
    </row>
    <row r="22" spans="3:6" ht="38.25" x14ac:dyDescent="0.2">
      <c r="C22" s="6" t="s">
        <v>63</v>
      </c>
      <c r="D22" s="7" t="s">
        <v>68</v>
      </c>
      <c r="E22" s="7" t="s">
        <v>66</v>
      </c>
      <c r="F22" s="6" t="s">
        <v>67</v>
      </c>
    </row>
    <row r="23" spans="3:6" ht="51" x14ac:dyDescent="0.2">
      <c r="C23" s="2" t="s">
        <v>64</v>
      </c>
      <c r="D23" s="3" t="s">
        <v>69</v>
      </c>
      <c r="E23" s="3" t="s">
        <v>70</v>
      </c>
      <c r="F23" s="2" t="s">
        <v>230</v>
      </c>
    </row>
    <row r="24" spans="3:6" ht="51" x14ac:dyDescent="0.2">
      <c r="C24" s="6" t="s">
        <v>65</v>
      </c>
      <c r="D24" s="7" t="s">
        <v>71</v>
      </c>
      <c r="E24" s="7" t="s">
        <v>72</v>
      </c>
      <c r="F24" s="6" t="s">
        <v>231</v>
      </c>
    </row>
    <row r="25" spans="3:6" ht="51" x14ac:dyDescent="0.2">
      <c r="C25" s="134" t="s">
        <v>210</v>
      </c>
      <c r="D25" s="135" t="s">
        <v>212</v>
      </c>
      <c r="E25" s="135" t="s">
        <v>213</v>
      </c>
      <c r="F25" s="134" t="s">
        <v>211</v>
      </c>
    </row>
  </sheetData>
  <pageMargins left="0.7" right="0.7" top="0.75" bottom="0.75" header="0.3" footer="0.3"/>
  <pageSetup paperSize="9"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7D05A-FD6C-4EF1-80E9-F3D5DE1541D1}">
  <dimension ref="A1:T105"/>
  <sheetViews>
    <sheetView topLeftCell="A21" workbookViewId="0">
      <selection activeCell="C101" sqref="C101"/>
    </sheetView>
  </sheetViews>
  <sheetFormatPr baseColWidth="10" defaultRowHeight="12.75" x14ac:dyDescent="0.2"/>
  <cols>
    <col min="1" max="1" width="66" customWidth="1"/>
    <col min="2" max="3" width="30.28515625" customWidth="1"/>
    <col min="4" max="6" width="12.140625" customWidth="1"/>
    <col min="7" max="10" width="11.140625" customWidth="1"/>
    <col min="11" max="16" width="11.140625" style="28" customWidth="1"/>
    <col min="17" max="17" width="11.42578125" style="28"/>
  </cols>
  <sheetData>
    <row r="1" spans="1:20" ht="19.5" x14ac:dyDescent="0.25">
      <c r="A1" s="33" t="s">
        <v>200</v>
      </c>
      <c r="B1" s="37"/>
      <c r="C1" s="37"/>
      <c r="D1" s="37"/>
      <c r="E1" s="37"/>
      <c r="F1" s="37"/>
      <c r="G1" s="37"/>
      <c r="H1" s="37"/>
      <c r="I1" s="37"/>
      <c r="J1" s="37"/>
      <c r="K1" s="34"/>
      <c r="L1" s="34"/>
      <c r="M1" s="34"/>
      <c r="N1" s="34"/>
      <c r="O1" s="34"/>
      <c r="P1" s="35"/>
    </row>
    <row r="2" spans="1:20" ht="13.5" thickBot="1" x14ac:dyDescent="0.25">
      <c r="A2" s="36"/>
      <c r="B2" s="114"/>
      <c r="C2" s="37"/>
      <c r="D2" s="37"/>
      <c r="E2" s="37"/>
      <c r="F2" s="37"/>
      <c r="G2" s="37"/>
      <c r="H2" s="37"/>
      <c r="I2" s="37"/>
      <c r="J2" s="37"/>
      <c r="K2" s="38"/>
      <c r="L2" s="38"/>
      <c r="M2" s="38"/>
      <c r="N2" s="38"/>
      <c r="O2" s="38"/>
      <c r="P2" s="39"/>
    </row>
    <row r="3" spans="1:20" x14ac:dyDescent="0.2">
      <c r="A3" s="40" t="s">
        <v>194</v>
      </c>
      <c r="B3" s="113" t="s">
        <v>122</v>
      </c>
      <c r="C3" s="88" t="str">
        <f>+Grunnlagstall!C2</f>
        <v>3 kv. 24</v>
      </c>
      <c r="D3" s="88" t="str">
        <f>+Grunnlagstall!D2</f>
        <v>2 kv. 24</v>
      </c>
      <c r="E3" s="88" t="str">
        <f>+Grunnlagstall!E2</f>
        <v>1 kv. 24</v>
      </c>
      <c r="F3" s="88" t="str">
        <f>+Grunnlagstall!F2</f>
        <v>4 kv. 23</v>
      </c>
      <c r="G3" s="88" t="str">
        <f>+Grunnlagstall!G2</f>
        <v>3. kv. 23</v>
      </c>
      <c r="H3" s="88" t="str">
        <f>+Grunnlagstall!H2</f>
        <v>2. kv. 23</v>
      </c>
      <c r="I3" s="88" t="str">
        <f>+Grunnlagstall!I2</f>
        <v>1. kv. 23</v>
      </c>
      <c r="J3" s="88" t="str">
        <f>+Grunnlagstall!J2</f>
        <v>4. kv. 22</v>
      </c>
      <c r="K3" s="88" t="str">
        <f>+Grunnlagstall!K2</f>
        <v>3. kv. 22</v>
      </c>
      <c r="L3" s="88" t="str">
        <f>+Grunnlagstall!L2</f>
        <v>2. kv. 22</v>
      </c>
      <c r="M3" s="88" t="str">
        <f>+Grunnlagstall!M2</f>
        <v>1. kv. 22</v>
      </c>
      <c r="N3" s="88" t="str">
        <f>+Grunnlagstall!N2</f>
        <v>4. kv. 21</v>
      </c>
      <c r="O3" s="88" t="str">
        <f>+Grunnlagstall!O2</f>
        <v>3. kv. 21</v>
      </c>
      <c r="P3" s="89" t="str">
        <f>+Grunnlagstall!P2</f>
        <v>2. kv. 21</v>
      </c>
    </row>
    <row r="4" spans="1:20" x14ac:dyDescent="0.2">
      <c r="A4" s="41" t="s">
        <v>109</v>
      </c>
      <c r="B4" s="63" t="s">
        <v>117</v>
      </c>
      <c r="C4" s="42">
        <v>92</v>
      </c>
      <c r="D4" s="42">
        <v>91</v>
      </c>
      <c r="E4" s="42">
        <f>31+29+31</f>
        <v>91</v>
      </c>
      <c r="F4" s="42">
        <f>31+30+31</f>
        <v>92</v>
      </c>
      <c r="G4" s="42">
        <f>31+31+30</f>
        <v>92</v>
      </c>
      <c r="H4" s="42">
        <f>30+31+30</f>
        <v>91</v>
      </c>
      <c r="I4" s="42">
        <f>31+28+31</f>
        <v>90</v>
      </c>
      <c r="J4" s="42">
        <f>31+30+31</f>
        <v>92</v>
      </c>
      <c r="K4" s="42">
        <f>31+31+30</f>
        <v>92</v>
      </c>
      <c r="L4" s="42">
        <f>30+31+30</f>
        <v>91</v>
      </c>
      <c r="M4" s="42">
        <f>31+28+31</f>
        <v>90</v>
      </c>
      <c r="N4" s="42">
        <f>31+30+31</f>
        <v>92</v>
      </c>
      <c r="O4" s="42">
        <f>31+31+30</f>
        <v>92</v>
      </c>
      <c r="P4" s="43">
        <f>30+31+30</f>
        <v>91</v>
      </c>
      <c r="R4" s="28"/>
    </row>
    <row r="5" spans="1:20" x14ac:dyDescent="0.2">
      <c r="A5" s="44" t="s">
        <v>147</v>
      </c>
      <c r="B5" s="64" t="s">
        <v>118</v>
      </c>
      <c r="C5" s="45">
        <f>+Grunnlagstall!C38</f>
        <v>22661579</v>
      </c>
      <c r="D5" s="45">
        <f>+Grunnlagstall!D25</f>
        <v>22430352</v>
      </c>
      <c r="E5" s="45">
        <f>+Grunnlagstall!E25</f>
        <v>22354157</v>
      </c>
      <c r="F5" s="45">
        <f>+Grunnlagstall!F25</f>
        <v>22258220</v>
      </c>
      <c r="G5" s="45">
        <f>+Grunnlagstall!G25</f>
        <v>22008435</v>
      </c>
      <c r="H5" s="45">
        <f>+Grunnlagstall!H25</f>
        <v>22043171</v>
      </c>
      <c r="I5" s="45">
        <f>+Grunnlagstall!I25</f>
        <v>22199993</v>
      </c>
      <c r="J5" s="45">
        <f>+Grunnlagstall!J25</f>
        <v>22017068</v>
      </c>
      <c r="K5" s="45">
        <f>+Grunnlagstall!K25</f>
        <v>21876830</v>
      </c>
      <c r="L5" s="45">
        <f>+Grunnlagstall!L25</f>
        <v>21530095</v>
      </c>
      <c r="M5" s="45">
        <f>+Grunnlagstall!M25</f>
        <v>21067720</v>
      </c>
      <c r="N5" s="45">
        <f>+Grunnlagstall!N25</f>
        <v>20799417</v>
      </c>
      <c r="O5" s="45">
        <f>+Grunnlagstall!O25</f>
        <v>20357446</v>
      </c>
      <c r="P5" s="46">
        <f>+Grunnlagstall!P25</f>
        <v>19581558</v>
      </c>
      <c r="Q5" s="32"/>
      <c r="R5" s="32"/>
      <c r="S5" s="21"/>
      <c r="T5" s="21"/>
    </row>
    <row r="6" spans="1:20" x14ac:dyDescent="0.2">
      <c r="A6" s="44" t="s">
        <v>106</v>
      </c>
      <c r="B6" s="64" t="s">
        <v>119</v>
      </c>
      <c r="C6" s="45">
        <f>+Grunnlagstall!C27</f>
        <v>81</v>
      </c>
      <c r="D6" s="45">
        <f>+Grunnlagstall!D27</f>
        <v>88</v>
      </c>
      <c r="E6" s="45">
        <f>+Grunnlagstall!E27</f>
        <v>87</v>
      </c>
      <c r="F6" s="45">
        <f>+Grunnlagstall!F27</f>
        <v>88</v>
      </c>
      <c r="G6" s="45">
        <f>+Grunnlagstall!G27</f>
        <v>87</v>
      </c>
      <c r="H6" s="45">
        <f>+Grunnlagstall!H27</f>
        <v>89.51</v>
      </c>
      <c r="I6" s="45">
        <f>+Grunnlagstall!I27</f>
        <v>89.51</v>
      </c>
      <c r="J6" s="45">
        <f>+Grunnlagstall!J27</f>
        <v>90</v>
      </c>
      <c r="K6" s="45">
        <f>+Grunnlagstall!K27</f>
        <v>88</v>
      </c>
      <c r="L6" s="45">
        <f>+Grunnlagstall!L27</f>
        <v>88</v>
      </c>
      <c r="M6" s="45">
        <f>+Grunnlagstall!M27</f>
        <v>88</v>
      </c>
      <c r="N6" s="45">
        <f>+Grunnlagstall!N27</f>
        <v>89</v>
      </c>
      <c r="O6" s="45">
        <f>+Grunnlagstall!O27</f>
        <v>90</v>
      </c>
      <c r="P6" s="46">
        <f>+Grunnlagstall!P27</f>
        <v>88.7</v>
      </c>
      <c r="Q6" s="32"/>
      <c r="R6" s="32"/>
      <c r="S6" s="21"/>
      <c r="T6" s="21"/>
    </row>
    <row r="7" spans="1:20" x14ac:dyDescent="0.2">
      <c r="A7" s="44"/>
      <c r="B7" s="64"/>
      <c r="C7" s="131"/>
      <c r="D7" s="131"/>
      <c r="E7" s="131"/>
      <c r="F7" s="131"/>
      <c r="G7" s="131"/>
      <c r="H7" s="131"/>
      <c r="I7" s="131"/>
      <c r="J7" s="131"/>
      <c r="K7" s="45"/>
      <c r="L7" s="45"/>
      <c r="M7" s="45"/>
      <c r="N7" s="45"/>
      <c r="O7" s="45"/>
      <c r="P7" s="46"/>
      <c r="Q7" s="32"/>
      <c r="R7" s="32"/>
      <c r="S7" s="21"/>
      <c r="T7" s="21"/>
    </row>
    <row r="8" spans="1:20" x14ac:dyDescent="0.2">
      <c r="A8" s="47" t="s">
        <v>108</v>
      </c>
      <c r="B8" s="65" t="s">
        <v>120</v>
      </c>
      <c r="C8" s="48">
        <f>+Grunnlagstall!C3</f>
        <v>142117.04016</v>
      </c>
      <c r="D8" s="48">
        <f>+Grunnlagstall!D3</f>
        <v>134503.50966999994</v>
      </c>
      <c r="E8" s="48">
        <f>+Grunnlagstall!E3</f>
        <v>133527.77151000011</v>
      </c>
      <c r="F8" s="48">
        <f>+Grunnlagstall!F3</f>
        <v>133625.43361000024</v>
      </c>
      <c r="G8" s="48">
        <f>+Grunnlagstall!G3</f>
        <v>134172.51399999997</v>
      </c>
      <c r="H8" s="48">
        <f>+Grunnlagstall!H3</f>
        <v>127620.01541999969</v>
      </c>
      <c r="I8" s="48">
        <f>+Grunnlagstall!I3</f>
        <v>123151.47057999999</v>
      </c>
      <c r="J8" s="48">
        <f>+Grunnlagstall!J3</f>
        <v>120434.41103999513</v>
      </c>
      <c r="K8" s="48">
        <f>+Grunnlagstall!K3</f>
        <v>108464.64311999807</v>
      </c>
      <c r="L8" s="48">
        <f>+Grunnlagstall!L3</f>
        <v>97112.087430000218</v>
      </c>
      <c r="M8" s="48">
        <f>+Grunnlagstall!M3</f>
        <v>91273.909800000023</v>
      </c>
      <c r="N8" s="48">
        <f>+Grunnlagstall!N3</f>
        <v>92824.220439999801</v>
      </c>
      <c r="O8" s="48">
        <f>+Grunnlagstall!O3</f>
        <v>91305.793680001574</v>
      </c>
      <c r="P8" s="49">
        <f>+Grunnlagstall!P3</f>
        <v>83882.61893999936</v>
      </c>
      <c r="R8" s="28"/>
    </row>
    <row r="9" spans="1:20" x14ac:dyDescent="0.2">
      <c r="A9" s="47" t="s">
        <v>110</v>
      </c>
      <c r="B9" s="66" t="s">
        <v>121</v>
      </c>
      <c r="C9" s="50">
        <f>+C8*366/C$4/C$5</f>
        <v>2.4948776065734715E-2</v>
      </c>
      <c r="D9" s="50">
        <f>+D8*366/D$4/D$5</f>
        <v>2.4117773977494785E-2</v>
      </c>
      <c r="E9" s="50">
        <f>+E8*366/E$4/E$5</f>
        <v>2.4024424733928615E-2</v>
      </c>
      <c r="F9" s="50">
        <f t="shared" ref="F9:K9" si="0">+F8*365/F$4/F$5</f>
        <v>2.3817914610603303E-2</v>
      </c>
      <c r="G9" s="50">
        <f t="shared" si="0"/>
        <v>2.4186856781324376E-2</v>
      </c>
      <c r="H9" s="50">
        <f t="shared" si="0"/>
        <v>2.3221816835330401E-2</v>
      </c>
      <c r="I9" s="50">
        <f t="shared" si="0"/>
        <v>2.249764811572488E-2</v>
      </c>
      <c r="J9" s="50">
        <f t="shared" si="0"/>
        <v>2.1701819474978616E-2</v>
      </c>
      <c r="K9" s="50">
        <f t="shared" si="0"/>
        <v>1.9670202764453106E-2</v>
      </c>
      <c r="L9" s="50">
        <f t="shared" ref="L9:P9" si="1">+L8*365/L$4/L$5</f>
        <v>1.8091676581823486E-2</v>
      </c>
      <c r="M9" s="50">
        <f t="shared" si="1"/>
        <v>1.7570311925859408E-2</v>
      </c>
      <c r="N9" s="50">
        <f t="shared" si="1"/>
        <v>1.7705784974959681E-2</v>
      </c>
      <c r="O9" s="50">
        <f t="shared" si="1"/>
        <v>1.7794266131547883E-2</v>
      </c>
      <c r="P9" s="51">
        <f t="shared" si="1"/>
        <v>1.7182098726838596E-2</v>
      </c>
      <c r="R9" s="28"/>
    </row>
    <row r="10" spans="1:20" x14ac:dyDescent="0.2">
      <c r="A10" s="44"/>
      <c r="B10" s="64"/>
      <c r="C10" s="131"/>
      <c r="D10" s="131"/>
      <c r="E10" s="131"/>
      <c r="F10" s="131"/>
      <c r="G10" s="131"/>
      <c r="H10" s="131"/>
      <c r="I10" s="131"/>
      <c r="J10" s="131"/>
      <c r="K10" s="42"/>
      <c r="L10" s="42"/>
      <c r="M10" s="42"/>
      <c r="N10" s="42"/>
      <c r="O10" s="42"/>
      <c r="P10" s="43"/>
      <c r="R10" s="28"/>
    </row>
    <row r="11" spans="1:20" x14ac:dyDescent="0.2">
      <c r="A11" s="44" t="s">
        <v>111</v>
      </c>
      <c r="B11" s="64" t="s">
        <v>123</v>
      </c>
      <c r="C11" s="45">
        <f>+Grunnlagstall!C4</f>
        <v>20812.340469999999</v>
      </c>
      <c r="D11" s="45">
        <f>+Grunnlagstall!D4</f>
        <v>42994.954579999998</v>
      </c>
      <c r="E11" s="45">
        <f>+Grunnlagstall!E4</f>
        <v>23851.284140000003</v>
      </c>
      <c r="F11" s="45">
        <f>+Grunnlagstall!F4</f>
        <v>20862.054409999993</v>
      </c>
      <c r="G11" s="45">
        <f>+Grunnlagstall!G4</f>
        <v>20671.456999999995</v>
      </c>
      <c r="H11" s="45">
        <f>+Grunnlagstall!H4</f>
        <v>59673.185889999993</v>
      </c>
      <c r="I11" s="45">
        <f>+Grunnlagstall!I4</f>
        <v>14331.357110000004</v>
      </c>
      <c r="J11" s="45">
        <f>+Grunnlagstall!J4</f>
        <v>19619.628360000021</v>
      </c>
      <c r="K11" s="45">
        <f>+Grunnlagstall!K4</f>
        <v>15911.379879999997</v>
      </c>
      <c r="L11" s="45">
        <f>+Grunnlagstall!L4</f>
        <v>48918.133840000017</v>
      </c>
      <c r="M11" s="45">
        <f>+Grunnlagstall!M4</f>
        <v>19655.227310000009</v>
      </c>
      <c r="N11" s="45">
        <f>+Grunnlagstall!N4</f>
        <v>30342.353779999998</v>
      </c>
      <c r="O11" s="45">
        <f>+Grunnlagstall!O4</f>
        <v>20624.387350000019</v>
      </c>
      <c r="P11" s="46">
        <f>+Grunnlagstall!P4</f>
        <v>42648.009240000007</v>
      </c>
      <c r="R11" s="28"/>
    </row>
    <row r="12" spans="1:20" x14ac:dyDescent="0.2">
      <c r="A12" s="44" t="s">
        <v>73</v>
      </c>
      <c r="B12" s="67" t="s">
        <v>125</v>
      </c>
      <c r="C12" s="52">
        <f>+C11*366/C$4/C$5</f>
        <v>3.6536253584037357E-3</v>
      </c>
      <c r="D12" s="52">
        <f>+D11*366/D$4/D$5</f>
        <v>7.7094092137610362E-3</v>
      </c>
      <c r="E12" s="52">
        <f>+E11*366/E$4/E$5</f>
        <v>4.2913423488540846E-3</v>
      </c>
      <c r="F12" s="52">
        <f t="shared" ref="F12:K12" si="2">+F11*365/F$4/F$5</f>
        <v>3.7185333444033344E-3</v>
      </c>
      <c r="G12" s="52">
        <f t="shared" si="2"/>
        <v>3.7263784885204231E-3</v>
      </c>
      <c r="H12" s="52">
        <f t="shared" si="2"/>
        <v>1.0858169764027802E-2</v>
      </c>
      <c r="I12" s="52">
        <f t="shared" si="2"/>
        <v>2.6180915888627141E-3</v>
      </c>
      <c r="J12" s="52">
        <f t="shared" si="2"/>
        <v>3.5353818660141343E-3</v>
      </c>
      <c r="K12" s="52">
        <f t="shared" si="2"/>
        <v>2.8855492398161412E-3</v>
      </c>
      <c r="L12" s="52">
        <f t="shared" ref="L12:P12" si="3">+L11*365/L$4/L$5</f>
        <v>9.1132945428401384E-3</v>
      </c>
      <c r="M12" s="52">
        <f t="shared" si="3"/>
        <v>3.7836494083259994E-3</v>
      </c>
      <c r="N12" s="52">
        <f t="shared" si="3"/>
        <v>5.7876617666840083E-3</v>
      </c>
      <c r="O12" s="52">
        <f t="shared" si="3"/>
        <v>4.019414568501932E-3</v>
      </c>
      <c r="P12" s="53">
        <f t="shared" si="3"/>
        <v>8.7358062316695035E-3</v>
      </c>
      <c r="R12" s="28"/>
    </row>
    <row r="13" spans="1:20" x14ac:dyDescent="0.2">
      <c r="A13" s="44"/>
      <c r="B13" s="64"/>
      <c r="C13" s="131"/>
      <c r="D13" s="131"/>
      <c r="E13" s="131"/>
      <c r="F13" s="131"/>
      <c r="G13" s="131"/>
      <c r="H13" s="131"/>
      <c r="I13" s="131"/>
      <c r="J13" s="131"/>
      <c r="K13" s="42"/>
      <c r="L13" s="42"/>
      <c r="M13" s="42"/>
      <c r="N13" s="42"/>
      <c r="O13" s="42"/>
      <c r="P13" s="43"/>
      <c r="R13" s="28"/>
    </row>
    <row r="14" spans="1:20" x14ac:dyDescent="0.2">
      <c r="A14" s="47" t="s">
        <v>112</v>
      </c>
      <c r="B14" s="65" t="s">
        <v>124</v>
      </c>
      <c r="C14" s="48">
        <f>+Grunnlagstall!C5</f>
        <v>55685.445320000013</v>
      </c>
      <c r="D14" s="48">
        <f>+Grunnlagstall!D5</f>
        <v>57057.026169999954</v>
      </c>
      <c r="E14" s="48">
        <f>+Grunnlagstall!E5</f>
        <v>54958.62016000002</v>
      </c>
      <c r="F14" s="48">
        <f>+Grunnlagstall!F5</f>
        <v>65873.53416000001</v>
      </c>
      <c r="G14" s="48">
        <f>+Grunnlagstall!G5</f>
        <v>49297.058000000005</v>
      </c>
      <c r="H14" s="48">
        <f>+Grunnlagstall!H5</f>
        <v>52325.784050000002</v>
      </c>
      <c r="I14" s="48">
        <f>+Grunnlagstall!I5</f>
        <v>53385.157950000001</v>
      </c>
      <c r="J14" s="48">
        <f>+Grunnlagstall!J5</f>
        <v>51412.216880000051</v>
      </c>
      <c r="K14" s="48">
        <f>+Grunnlagstall!K5</f>
        <v>44716.389009999992</v>
      </c>
      <c r="L14" s="48">
        <f>+Grunnlagstall!L5</f>
        <v>46401.000479999988</v>
      </c>
      <c r="M14" s="48">
        <f>+Grunnlagstall!M5</f>
        <v>50218.960200000001</v>
      </c>
      <c r="N14" s="48">
        <f>+Grunnlagstall!N5</f>
        <v>48305.224680000043</v>
      </c>
      <c r="O14" s="48">
        <f>+Grunnlagstall!O5</f>
        <v>41763.852719999981</v>
      </c>
      <c r="P14" s="49">
        <f>+Grunnlagstall!P5</f>
        <v>64942.500680000005</v>
      </c>
      <c r="R14" s="28"/>
    </row>
    <row r="15" spans="1:20" x14ac:dyDescent="0.2">
      <c r="A15" s="47" t="s">
        <v>74</v>
      </c>
      <c r="B15" s="66" t="s">
        <v>126</v>
      </c>
      <c r="C15" s="50">
        <f>+C14*366/C$4/C$5</f>
        <v>9.7756307325658834E-3</v>
      </c>
      <c r="D15" s="50">
        <f>+D14*366/D$4/D$5</f>
        <v>1.0230874007468301E-2</v>
      </c>
      <c r="E15" s="50">
        <f>+E14*366/E$4/E$5</f>
        <v>9.8881994253578118E-3</v>
      </c>
      <c r="F15" s="50">
        <f t="shared" ref="F15:K15" si="4">+F14*365/F$4/F$5</f>
        <v>1.1741553754659786E-2</v>
      </c>
      <c r="G15" s="50">
        <f t="shared" si="4"/>
        <v>8.8866254796913288E-3</v>
      </c>
      <c r="H15" s="50">
        <f t="shared" si="4"/>
        <v>9.521231986810522E-3</v>
      </c>
      <c r="I15" s="50">
        <f t="shared" si="4"/>
        <v>9.7525469448721622E-3</v>
      </c>
      <c r="J15" s="50">
        <f t="shared" si="4"/>
        <v>9.2642845172189459E-3</v>
      </c>
      <c r="K15" s="50">
        <f t="shared" si="4"/>
        <v>8.1093747549397556E-3</v>
      </c>
      <c r="L15" s="50">
        <f t="shared" ref="L15:P15" si="5">+L14*365/L$4/L$5</f>
        <v>8.6443605113760893E-3</v>
      </c>
      <c r="M15" s="50">
        <f t="shared" si="5"/>
        <v>9.6671962145563617E-3</v>
      </c>
      <c r="N15" s="50">
        <f t="shared" si="5"/>
        <v>9.2139951975577089E-3</v>
      </c>
      <c r="O15" s="50">
        <f t="shared" si="5"/>
        <v>8.139210887131482E-3</v>
      </c>
      <c r="P15" s="51">
        <f t="shared" si="5"/>
        <v>1.3302499043928292E-2</v>
      </c>
      <c r="R15" s="28"/>
    </row>
    <row r="16" spans="1:20" x14ac:dyDescent="0.2">
      <c r="A16" s="44"/>
      <c r="B16" s="64"/>
      <c r="C16" s="131"/>
      <c r="D16" s="131"/>
      <c r="E16" s="42"/>
      <c r="F16" s="42"/>
      <c r="G16" s="42"/>
      <c r="H16" s="42"/>
      <c r="I16" s="42"/>
      <c r="J16" s="42"/>
      <c r="K16" s="42"/>
      <c r="L16" s="42"/>
      <c r="M16" s="42"/>
      <c r="N16" s="42"/>
      <c r="O16" s="42"/>
      <c r="P16" s="43"/>
      <c r="R16" s="28"/>
    </row>
    <row r="17" spans="1:18" x14ac:dyDescent="0.2">
      <c r="A17" s="44" t="s">
        <v>112</v>
      </c>
      <c r="B17" s="64" t="s">
        <v>124</v>
      </c>
      <c r="C17" s="45">
        <f t="shared" ref="C17" si="6">+C14</f>
        <v>55685.445320000013</v>
      </c>
      <c r="D17" s="45">
        <f t="shared" ref="D17:E17" si="7">+D14</f>
        <v>57057.026169999954</v>
      </c>
      <c r="E17" s="45">
        <f t="shared" si="7"/>
        <v>54958.62016000002</v>
      </c>
      <c r="F17" s="45">
        <f t="shared" ref="F17:K17" si="8">+F14</f>
        <v>65873.53416000001</v>
      </c>
      <c r="G17" s="45">
        <f t="shared" si="8"/>
        <v>49297.058000000005</v>
      </c>
      <c r="H17" s="45">
        <f t="shared" si="8"/>
        <v>52325.784050000002</v>
      </c>
      <c r="I17" s="45">
        <f t="shared" si="8"/>
        <v>53385.157950000001</v>
      </c>
      <c r="J17" s="45">
        <f t="shared" si="8"/>
        <v>51412.216880000051</v>
      </c>
      <c r="K17" s="45">
        <f t="shared" si="8"/>
        <v>44716.389009999992</v>
      </c>
      <c r="L17" s="45">
        <f t="shared" ref="L17:P17" si="9">+L14</f>
        <v>46401.000479999988</v>
      </c>
      <c r="M17" s="45">
        <f t="shared" si="9"/>
        <v>50218.960200000001</v>
      </c>
      <c r="N17" s="45">
        <f t="shared" si="9"/>
        <v>48305.224680000043</v>
      </c>
      <c r="O17" s="45">
        <f t="shared" si="9"/>
        <v>41763.852719999981</v>
      </c>
      <c r="P17" s="46">
        <f t="shared" si="9"/>
        <v>64942.500680000005</v>
      </c>
      <c r="R17" s="28"/>
    </row>
    <row r="18" spans="1:18" x14ac:dyDescent="0.2">
      <c r="A18" s="44" t="s">
        <v>108</v>
      </c>
      <c r="B18" s="64" t="s">
        <v>120</v>
      </c>
      <c r="C18" s="45">
        <f>+Grunnlagstall!C3</f>
        <v>142117.04016</v>
      </c>
      <c r="D18" s="45">
        <f>+Grunnlagstall!D3</f>
        <v>134503.50966999994</v>
      </c>
      <c r="E18" s="45">
        <f>+Grunnlagstall!E3</f>
        <v>133527.77151000011</v>
      </c>
      <c r="F18" s="45">
        <f>+Grunnlagstall!F3</f>
        <v>133625.43361000024</v>
      </c>
      <c r="G18" s="45">
        <f>+Grunnlagstall!G3</f>
        <v>134172.51399999997</v>
      </c>
      <c r="H18" s="45">
        <f>+Grunnlagstall!H3</f>
        <v>127620.01541999969</v>
      </c>
      <c r="I18" s="45">
        <f>+Grunnlagstall!I3</f>
        <v>123151.47057999999</v>
      </c>
      <c r="J18" s="45">
        <f>+Grunnlagstall!J3</f>
        <v>120434.41103999513</v>
      </c>
      <c r="K18" s="45">
        <f>+Grunnlagstall!K3</f>
        <v>108464.64311999807</v>
      </c>
      <c r="L18" s="45">
        <f>+Grunnlagstall!L3</f>
        <v>97112.087430000218</v>
      </c>
      <c r="M18" s="45">
        <f>+Grunnlagstall!M3</f>
        <v>91273.909800000023</v>
      </c>
      <c r="N18" s="45">
        <f>+Grunnlagstall!N3</f>
        <v>92824.220439999801</v>
      </c>
      <c r="O18" s="45">
        <f>+Grunnlagstall!O3</f>
        <v>91305.793680001574</v>
      </c>
      <c r="P18" s="46">
        <f>+Grunnlagstall!P3</f>
        <v>83882.61893999936</v>
      </c>
      <c r="R18" s="28"/>
    </row>
    <row r="19" spans="1:18" x14ac:dyDescent="0.2">
      <c r="A19" s="44" t="s">
        <v>111</v>
      </c>
      <c r="B19" s="64" t="str">
        <f>+B11</f>
        <v>A5</v>
      </c>
      <c r="C19" s="45">
        <f>+Grunnlagstall!C4</f>
        <v>20812.340469999999</v>
      </c>
      <c r="D19" s="45">
        <f>+Grunnlagstall!D4</f>
        <v>42994.954579999998</v>
      </c>
      <c r="E19" s="45">
        <f>+Grunnlagstall!E4</f>
        <v>23851.284140000003</v>
      </c>
      <c r="F19" s="45">
        <f>+Grunnlagstall!F4</f>
        <v>20862.054409999993</v>
      </c>
      <c r="G19" s="45">
        <f>+Grunnlagstall!G4</f>
        <v>20671.456999999995</v>
      </c>
      <c r="H19" s="45">
        <f>+Grunnlagstall!H4</f>
        <v>59673.185889999993</v>
      </c>
      <c r="I19" s="45">
        <f>+Grunnlagstall!I4</f>
        <v>14331.357110000004</v>
      </c>
      <c r="J19" s="45">
        <f>+Grunnlagstall!J4</f>
        <v>19619.628360000021</v>
      </c>
      <c r="K19" s="45">
        <f>+Grunnlagstall!K4</f>
        <v>15911.379879999997</v>
      </c>
      <c r="L19" s="45">
        <f>+Grunnlagstall!L4</f>
        <v>48918.133840000017</v>
      </c>
      <c r="M19" s="45">
        <f>+Grunnlagstall!M4</f>
        <v>19655.227310000009</v>
      </c>
      <c r="N19" s="45">
        <f>+Grunnlagstall!N4</f>
        <v>30342.353779999998</v>
      </c>
      <c r="O19" s="45">
        <f>+Grunnlagstall!O4</f>
        <v>20624.387350000019</v>
      </c>
      <c r="P19" s="46">
        <f>+Grunnlagstall!P4</f>
        <v>42648.009240000007</v>
      </c>
      <c r="R19" s="28"/>
    </row>
    <row r="20" spans="1:18" x14ac:dyDescent="0.2">
      <c r="A20" s="44" t="s">
        <v>113</v>
      </c>
      <c r="B20" s="67" t="s">
        <v>127</v>
      </c>
      <c r="C20" s="45">
        <f t="shared" ref="C20:D20" si="10">SUM(C18:C19)</f>
        <v>162929.38063</v>
      </c>
      <c r="D20" s="45">
        <f t="shared" si="10"/>
        <v>177498.46424999993</v>
      </c>
      <c r="E20" s="45">
        <f t="shared" ref="E20:K20" si="11">SUM(E18:E19)</f>
        <v>157379.05565000011</v>
      </c>
      <c r="F20" s="45">
        <f t="shared" si="11"/>
        <v>154487.48802000022</v>
      </c>
      <c r="G20" s="45">
        <f t="shared" si="11"/>
        <v>154843.97099999996</v>
      </c>
      <c r="H20" s="45">
        <f t="shared" si="11"/>
        <v>187293.20130999968</v>
      </c>
      <c r="I20" s="45">
        <f t="shared" si="11"/>
        <v>137482.82769000001</v>
      </c>
      <c r="J20" s="45">
        <f t="shared" si="11"/>
        <v>140054.03939999515</v>
      </c>
      <c r="K20" s="45">
        <f t="shared" si="11"/>
        <v>124376.02299999807</v>
      </c>
      <c r="L20" s="45">
        <f t="shared" ref="L20:P20" si="12">SUM(L18:L19)</f>
        <v>146030.22127000024</v>
      </c>
      <c r="M20" s="45">
        <f t="shared" si="12"/>
        <v>110929.13711000004</v>
      </c>
      <c r="N20" s="45">
        <f t="shared" si="12"/>
        <v>123166.57421999981</v>
      </c>
      <c r="O20" s="45">
        <f t="shared" si="12"/>
        <v>111930.18103000159</v>
      </c>
      <c r="P20" s="46">
        <f t="shared" si="12"/>
        <v>126530.62817999936</v>
      </c>
      <c r="R20" s="28"/>
    </row>
    <row r="21" spans="1:18" x14ac:dyDescent="0.2">
      <c r="A21" s="44" t="s">
        <v>75</v>
      </c>
      <c r="B21" s="64" t="s">
        <v>128</v>
      </c>
      <c r="C21" s="52">
        <f t="shared" ref="C21:D21" si="13">+C17/C20</f>
        <v>0.34177657279909107</v>
      </c>
      <c r="D21" s="52">
        <f t="shared" si="13"/>
        <v>0.32145081598924297</v>
      </c>
      <c r="E21" s="52">
        <f t="shared" ref="E21:K21" si="14">+E17/E20</f>
        <v>0.34921178001108422</v>
      </c>
      <c r="F21" s="52">
        <f t="shared" si="14"/>
        <v>0.42640044837464058</v>
      </c>
      <c r="G21" s="52">
        <f t="shared" si="14"/>
        <v>0.31836601503845452</v>
      </c>
      <c r="H21" s="52">
        <f t="shared" si="14"/>
        <v>0.27937898270740008</v>
      </c>
      <c r="I21" s="52">
        <f t="shared" si="14"/>
        <v>0.38830418930845895</v>
      </c>
      <c r="J21" s="52">
        <f t="shared" si="14"/>
        <v>0.36708842601223707</v>
      </c>
      <c r="K21" s="52">
        <f t="shared" si="14"/>
        <v>0.35952579871444101</v>
      </c>
      <c r="L21" s="52">
        <f t="shared" ref="L21:P21" si="15">+L17/L20</f>
        <v>0.31774929926462003</v>
      </c>
      <c r="M21" s="52">
        <f t="shared" si="15"/>
        <v>0.45271207825408083</v>
      </c>
      <c r="N21" s="52">
        <f t="shared" si="15"/>
        <v>0.39219427012492353</v>
      </c>
      <c r="O21" s="52">
        <f t="shared" si="15"/>
        <v>0.3731241416361657</v>
      </c>
      <c r="P21" s="53">
        <f t="shared" si="15"/>
        <v>0.51325518267098458</v>
      </c>
      <c r="R21" s="28"/>
    </row>
    <row r="22" spans="1:18" x14ac:dyDescent="0.2">
      <c r="A22" s="44"/>
      <c r="B22" s="64"/>
      <c r="C22" s="131"/>
      <c r="D22" s="131"/>
      <c r="E22" s="131"/>
      <c r="F22" s="131"/>
      <c r="G22" s="131"/>
      <c r="H22" s="131"/>
      <c r="I22" s="131"/>
      <c r="J22" s="131"/>
      <c r="K22" s="42"/>
      <c r="L22" s="42"/>
      <c r="M22" s="42"/>
      <c r="N22" s="42"/>
      <c r="O22" s="42"/>
      <c r="P22" s="43"/>
      <c r="R22" s="28"/>
    </row>
    <row r="23" spans="1:18" x14ac:dyDescent="0.2">
      <c r="A23" s="47" t="s">
        <v>112</v>
      </c>
      <c r="B23" s="65" t="s">
        <v>124</v>
      </c>
      <c r="C23" s="48">
        <f>+Grunnlagstall!C5</f>
        <v>55685.445320000013</v>
      </c>
      <c r="D23" s="48">
        <f>+Grunnlagstall!D5</f>
        <v>57057.026169999954</v>
      </c>
      <c r="E23" s="48">
        <f>+Grunnlagstall!E5</f>
        <v>54958.62016000002</v>
      </c>
      <c r="F23" s="48">
        <f>+Grunnlagstall!F5</f>
        <v>65873.53416000001</v>
      </c>
      <c r="G23" s="48">
        <f>+Grunnlagstall!G5</f>
        <v>49297.058000000005</v>
      </c>
      <c r="H23" s="48">
        <f>+Grunnlagstall!H5</f>
        <v>52325.784050000002</v>
      </c>
      <c r="I23" s="48">
        <f>+Grunnlagstall!I5</f>
        <v>53385.157950000001</v>
      </c>
      <c r="J23" s="48">
        <f>+Grunnlagstall!J5</f>
        <v>51412.216880000051</v>
      </c>
      <c r="K23" s="48">
        <f>+Grunnlagstall!K5</f>
        <v>44716.389009999992</v>
      </c>
      <c r="L23" s="48">
        <f>+Grunnlagstall!L5</f>
        <v>46401.000479999988</v>
      </c>
      <c r="M23" s="48">
        <f>+Grunnlagstall!M5</f>
        <v>50218.960200000001</v>
      </c>
      <c r="N23" s="48">
        <f>+Grunnlagstall!N5</f>
        <v>48305.224680000043</v>
      </c>
      <c r="O23" s="48">
        <f>+Grunnlagstall!O5</f>
        <v>41763.852719999981</v>
      </c>
      <c r="P23" s="49">
        <f>+Grunnlagstall!P5</f>
        <v>64942.500680000005</v>
      </c>
      <c r="R23" s="28"/>
    </row>
    <row r="24" spans="1:18" x14ac:dyDescent="0.2">
      <c r="A24" s="47" t="s">
        <v>108</v>
      </c>
      <c r="B24" s="65" t="s">
        <v>120</v>
      </c>
      <c r="C24" s="48">
        <f>+Grunnlagstall!C3</f>
        <v>142117.04016</v>
      </c>
      <c r="D24" s="48">
        <f>+Grunnlagstall!D3</f>
        <v>134503.50966999994</v>
      </c>
      <c r="E24" s="48">
        <f>+Grunnlagstall!E3</f>
        <v>133527.77151000011</v>
      </c>
      <c r="F24" s="48">
        <f>+Grunnlagstall!F3</f>
        <v>133625.43361000024</v>
      </c>
      <c r="G24" s="48">
        <f>+Grunnlagstall!G3</f>
        <v>134172.51399999997</v>
      </c>
      <c r="H24" s="48">
        <f>+Grunnlagstall!H3</f>
        <v>127620.01541999969</v>
      </c>
      <c r="I24" s="48">
        <f>+Grunnlagstall!I3</f>
        <v>123151.47057999999</v>
      </c>
      <c r="J24" s="48">
        <f>+Grunnlagstall!J3</f>
        <v>120434.41103999513</v>
      </c>
      <c r="K24" s="48">
        <f>+Grunnlagstall!K3</f>
        <v>108464.64311999807</v>
      </c>
      <c r="L24" s="48">
        <f>+Grunnlagstall!L3</f>
        <v>97112.087430000218</v>
      </c>
      <c r="M24" s="48">
        <f>+Grunnlagstall!M3</f>
        <v>91273.909800000023</v>
      </c>
      <c r="N24" s="48">
        <f>+Grunnlagstall!N3</f>
        <v>92824.220439999801</v>
      </c>
      <c r="O24" s="48">
        <f>+Grunnlagstall!O3</f>
        <v>91305.793680001574</v>
      </c>
      <c r="P24" s="49">
        <f>+Grunnlagstall!P3</f>
        <v>83882.61893999936</v>
      </c>
      <c r="R24" s="28"/>
    </row>
    <row r="25" spans="1:18" x14ac:dyDescent="0.2">
      <c r="A25" s="47" t="s">
        <v>111</v>
      </c>
      <c r="B25" s="65" t="s">
        <v>123</v>
      </c>
      <c r="C25" s="48">
        <f>+Grunnlagstall!C4</f>
        <v>20812.340469999999</v>
      </c>
      <c r="D25" s="48">
        <f>+Grunnlagstall!D4</f>
        <v>42994.954579999998</v>
      </c>
      <c r="E25" s="48">
        <f>+Grunnlagstall!E4</f>
        <v>23851.284140000003</v>
      </c>
      <c r="F25" s="48">
        <f>+Grunnlagstall!F4</f>
        <v>20862.054409999993</v>
      </c>
      <c r="G25" s="48">
        <f>+Grunnlagstall!G4</f>
        <v>20671.456999999995</v>
      </c>
      <c r="H25" s="48">
        <f>+Grunnlagstall!H4</f>
        <v>59673.185889999993</v>
      </c>
      <c r="I25" s="48">
        <f>+Grunnlagstall!I4</f>
        <v>14331.357110000004</v>
      </c>
      <c r="J25" s="48">
        <f>+Grunnlagstall!J4</f>
        <v>19619.628360000021</v>
      </c>
      <c r="K25" s="48">
        <f>+Grunnlagstall!K4</f>
        <v>15911.379879999997</v>
      </c>
      <c r="L25" s="48">
        <f>+Grunnlagstall!L4</f>
        <v>48918.133840000017</v>
      </c>
      <c r="M25" s="48">
        <f>+Grunnlagstall!M4</f>
        <v>19655.227310000009</v>
      </c>
      <c r="N25" s="48">
        <f>+Grunnlagstall!N4</f>
        <v>30342.353779999998</v>
      </c>
      <c r="O25" s="48">
        <f>+Grunnlagstall!O4</f>
        <v>20624.387350000019</v>
      </c>
      <c r="P25" s="49">
        <f>+Grunnlagstall!P4</f>
        <v>42648.009240000007</v>
      </c>
      <c r="R25" s="28"/>
    </row>
    <row r="26" spans="1:18" x14ac:dyDescent="0.2">
      <c r="A26" s="47" t="str">
        <f>+Grunnlagstall!A13</f>
        <v xml:space="preserve">Netto verdiendring og gevinst(+)/tap(-) på valuta og verdipapirer </v>
      </c>
      <c r="B26" s="66" t="s">
        <v>129</v>
      </c>
      <c r="C26" s="48">
        <f>+Grunnlagstall!C14</f>
        <v>-3138</v>
      </c>
      <c r="D26" s="48">
        <f>+Grunnlagstall!D14</f>
        <v>1204</v>
      </c>
      <c r="E26" s="48">
        <f>+Grunnlagstall!E14</f>
        <v>4390</v>
      </c>
      <c r="F26" s="48">
        <f>+Grunnlagstall!F14</f>
        <v>-2310</v>
      </c>
      <c r="G26" s="48">
        <f>+Grunnlagstall!G14</f>
        <v>2171</v>
      </c>
      <c r="H26" s="48">
        <f>+Grunnlagstall!H14</f>
        <v>5618</v>
      </c>
      <c r="I26" s="48">
        <f>+Grunnlagstall!I14</f>
        <v>-4618</v>
      </c>
      <c r="J26" s="48">
        <f>+Grunnlagstall!J14</f>
        <v>-3724</v>
      </c>
      <c r="K26" s="48">
        <f>+Grunnlagstall!K14</f>
        <v>-4259</v>
      </c>
      <c r="L26" s="48">
        <f>+Grunnlagstall!L14</f>
        <v>-7834</v>
      </c>
      <c r="M26" s="48">
        <f>+Grunnlagstall!M14</f>
        <v>-1312</v>
      </c>
      <c r="N26" s="48">
        <f>+Grunnlagstall!N14</f>
        <v>-860</v>
      </c>
      <c r="O26" s="48">
        <f>+Grunnlagstall!O14</f>
        <v>454</v>
      </c>
      <c r="P26" s="49">
        <f>+Grunnlagstall!P14</f>
        <v>-1172</v>
      </c>
      <c r="R26" s="28"/>
    </row>
    <row r="27" spans="1:18" x14ac:dyDescent="0.2">
      <c r="A27" s="47" t="s">
        <v>114</v>
      </c>
      <c r="B27" s="66" t="s">
        <v>132</v>
      </c>
      <c r="C27" s="48">
        <f t="shared" ref="C27:D27" si="16">+C24+C25-C26</f>
        <v>166067.38063</v>
      </c>
      <c r="D27" s="48">
        <f t="shared" si="16"/>
        <v>176294.46424999993</v>
      </c>
      <c r="E27" s="48">
        <f t="shared" ref="E27:K27" si="17">+E24+E25-E26</f>
        <v>152989.05565000011</v>
      </c>
      <c r="F27" s="48">
        <f t="shared" si="17"/>
        <v>156797.48802000022</v>
      </c>
      <c r="G27" s="48">
        <f t="shared" si="17"/>
        <v>152672.97099999996</v>
      </c>
      <c r="H27" s="48">
        <f t="shared" si="17"/>
        <v>181675.20130999968</v>
      </c>
      <c r="I27" s="48">
        <f t="shared" si="17"/>
        <v>142100.82769000001</v>
      </c>
      <c r="J27" s="48">
        <f t="shared" si="17"/>
        <v>143778.03939999515</v>
      </c>
      <c r="K27" s="48">
        <f t="shared" si="17"/>
        <v>128635.02299999807</v>
      </c>
      <c r="L27" s="48">
        <f t="shared" ref="L27:P27" si="18">+L24+L25-L26</f>
        <v>153864.22127000024</v>
      </c>
      <c r="M27" s="48">
        <f t="shared" si="18"/>
        <v>112241.13711000004</v>
      </c>
      <c r="N27" s="48">
        <f t="shared" si="18"/>
        <v>124026.57421999981</v>
      </c>
      <c r="O27" s="48">
        <f t="shared" si="18"/>
        <v>111476.18103000159</v>
      </c>
      <c r="P27" s="49">
        <f t="shared" si="18"/>
        <v>127702.62817999936</v>
      </c>
      <c r="R27" s="28"/>
    </row>
    <row r="28" spans="1:18" x14ac:dyDescent="0.2">
      <c r="A28" s="47" t="s">
        <v>76</v>
      </c>
      <c r="B28" s="65" t="s">
        <v>130</v>
      </c>
      <c r="C28" s="50">
        <f t="shared" ref="C28:D28" si="19">+C23/C27</f>
        <v>0.33531838166381278</v>
      </c>
      <c r="D28" s="50">
        <f t="shared" si="19"/>
        <v>0.32364615878742758</v>
      </c>
      <c r="E28" s="50">
        <f t="shared" ref="E28:K28" si="20">+E23/E27</f>
        <v>0.3592323642138906</v>
      </c>
      <c r="F28" s="50">
        <f t="shared" si="20"/>
        <v>0.42011855541714765</v>
      </c>
      <c r="G28" s="50">
        <f t="shared" si="20"/>
        <v>0.3228931596543046</v>
      </c>
      <c r="H28" s="50">
        <f t="shared" si="20"/>
        <v>0.28801830779708021</v>
      </c>
      <c r="I28" s="50">
        <f t="shared" si="20"/>
        <v>0.37568505981163153</v>
      </c>
      <c r="J28" s="50">
        <f t="shared" si="20"/>
        <v>0.35758045592045945</v>
      </c>
      <c r="K28" s="50">
        <f t="shared" si="20"/>
        <v>0.34762219469576855</v>
      </c>
      <c r="L28" s="50">
        <f t="shared" ref="L28" si="21">+L23/L27</f>
        <v>0.30157108713776754</v>
      </c>
      <c r="M28" s="50">
        <f t="shared" ref="M28" si="22">+M23/M27</f>
        <v>0.4474202729324076</v>
      </c>
      <c r="N28" s="50">
        <f t="shared" ref="N28" si="23">+N23/N27</f>
        <v>0.3894747958958833</v>
      </c>
      <c r="O28" s="50">
        <f t="shared" ref="O28" si="24">+O23/O27</f>
        <v>0.37464373406153978</v>
      </c>
      <c r="P28" s="51">
        <f t="shared" ref="P28" si="25">+P23/P27</f>
        <v>0.50854474653773196</v>
      </c>
      <c r="R28" s="28"/>
    </row>
    <row r="29" spans="1:18" x14ac:dyDescent="0.2">
      <c r="A29" s="44"/>
      <c r="B29" s="64"/>
      <c r="C29" s="131"/>
      <c r="D29" s="131"/>
      <c r="E29" s="131"/>
      <c r="F29" s="131"/>
      <c r="G29" s="131"/>
      <c r="H29" s="131"/>
      <c r="I29" s="131"/>
      <c r="J29" s="131"/>
      <c r="K29" s="42"/>
      <c r="L29" s="42"/>
      <c r="M29" s="42"/>
      <c r="N29" s="42"/>
      <c r="O29" s="42"/>
      <c r="P29" s="43"/>
      <c r="R29" s="28"/>
    </row>
    <row r="30" spans="1:18" x14ac:dyDescent="0.2">
      <c r="A30" s="44" t="str">
        <f>+Grunnlagstall!A6</f>
        <v>Driftsresultat før tap og nedskrivninger</v>
      </c>
      <c r="B30" s="64" t="s">
        <v>133</v>
      </c>
      <c r="C30" s="45">
        <f>+Grunnlagstall!C6</f>
        <v>107243.93530999999</v>
      </c>
      <c r="D30" s="45">
        <f>+Grunnlagstall!D6</f>
        <v>120441.43807999998</v>
      </c>
      <c r="E30" s="45">
        <f>+Grunnlagstall!E6</f>
        <v>102420.43549000009</v>
      </c>
      <c r="F30" s="45">
        <f>+Grunnlagstall!F6</f>
        <v>88613.953860000212</v>
      </c>
      <c r="G30" s="45">
        <f>+Grunnlagstall!G6</f>
        <v>105546.91299999996</v>
      </c>
      <c r="H30" s="45">
        <f>+Grunnlagstall!H6</f>
        <v>134967.41725999967</v>
      </c>
      <c r="I30" s="45">
        <f>+Grunnlagstall!I6</f>
        <v>84097.669740000405</v>
      </c>
      <c r="J30" s="45">
        <f>+Grunnlagstall!J6</f>
        <v>88641.822519995098</v>
      </c>
      <c r="K30" s="45">
        <f>+Grunnlagstall!K6</f>
        <v>79659.633989998081</v>
      </c>
      <c r="L30" s="45">
        <f>+Grunnlagstall!L6</f>
        <v>99629.220790000254</v>
      </c>
      <c r="M30" s="45">
        <f>+Grunnlagstall!M6</f>
        <v>60710.176910000038</v>
      </c>
      <c r="N30" s="45">
        <f>+Grunnlagstall!N6</f>
        <v>74861.349539999763</v>
      </c>
      <c r="O30" s="45">
        <f>+Grunnlagstall!O6</f>
        <v>70166.328310001612</v>
      </c>
      <c r="P30" s="46">
        <f>+Grunnlagstall!P6</f>
        <v>61588.127499999355</v>
      </c>
      <c r="R30" s="28"/>
    </row>
    <row r="31" spans="1:18" x14ac:dyDescent="0.2">
      <c r="A31" s="44" t="s">
        <v>131</v>
      </c>
      <c r="B31" s="67" t="s">
        <v>134</v>
      </c>
      <c r="C31" s="52">
        <f>+C30*366/C$4/C$5</f>
        <v>1.8826770691572573E-2</v>
      </c>
      <c r="D31" s="52">
        <f>+D30*366/D$4/D$5</f>
        <v>2.1596309183787517E-2</v>
      </c>
      <c r="E31" s="52">
        <f>+E30*366/E$4/E$5</f>
        <v>1.8427567657424888E-2</v>
      </c>
      <c r="F31" s="52">
        <f t="shared" ref="F31:K31" si="26">+F30*365/F$4/F$5</f>
        <v>1.5794894200346851E-2</v>
      </c>
      <c r="G31" s="52">
        <f t="shared" si="26"/>
        <v>1.9026609790153474E-2</v>
      </c>
      <c r="H31" s="52">
        <f t="shared" si="26"/>
        <v>2.4558754612547674E-2</v>
      </c>
      <c r="I31" s="52">
        <f t="shared" si="26"/>
        <v>1.5363192759715509E-2</v>
      </c>
      <c r="J31" s="52">
        <f t="shared" si="26"/>
        <v>1.5972916823773803E-2</v>
      </c>
      <c r="K31" s="52">
        <f t="shared" si="26"/>
        <v>1.4446377249329493E-2</v>
      </c>
      <c r="L31" s="52">
        <f t="shared" ref="L31:P31" si="27">+L30*365/L$4/L$5</f>
        <v>1.8560610613287537E-2</v>
      </c>
      <c r="M31" s="52">
        <f t="shared" si="27"/>
        <v>1.1686765119629048E-2</v>
      </c>
      <c r="N31" s="52">
        <f t="shared" si="27"/>
        <v>1.4279451544085981E-2</v>
      </c>
      <c r="O31" s="52">
        <f t="shared" si="27"/>
        <v>1.3674469812918335E-2</v>
      </c>
      <c r="P31" s="53">
        <f t="shared" si="27"/>
        <v>1.2615405914579806E-2</v>
      </c>
      <c r="R31" s="28"/>
    </row>
    <row r="32" spans="1:18" x14ac:dyDescent="0.2">
      <c r="A32" s="44"/>
      <c r="B32" s="64"/>
      <c r="C32" s="131"/>
      <c r="D32" s="131"/>
      <c r="E32" s="131"/>
      <c r="F32" s="131"/>
      <c r="G32" s="131"/>
      <c r="H32" s="131"/>
      <c r="I32" s="131"/>
      <c r="J32" s="131"/>
      <c r="K32" s="42"/>
      <c r="L32" s="42"/>
      <c r="M32" s="42"/>
      <c r="N32" s="42"/>
      <c r="O32" s="42"/>
      <c r="P32" s="43"/>
      <c r="R32" s="28"/>
    </row>
    <row r="33" spans="1:20" x14ac:dyDescent="0.2">
      <c r="A33" s="70" t="str">
        <f>+Grunnlagstall!A10</f>
        <v>Resultat av ordinær drift etter skatt</v>
      </c>
      <c r="B33" s="65" t="s">
        <v>135</v>
      </c>
      <c r="C33" s="48">
        <f>+Grunnlagstall!C10</f>
        <v>68018.69094</v>
      </c>
      <c r="D33" s="48">
        <f>+Grunnlagstall!D10</f>
        <v>90455.469759999978</v>
      </c>
      <c r="E33" s="48">
        <f>+Grunnlagstall!E10</f>
        <v>71126.520560000092</v>
      </c>
      <c r="F33" s="48">
        <f>+Grunnlagstall!F10</f>
        <v>60176.948840000216</v>
      </c>
      <c r="G33" s="48">
        <f>+Grunnlagstall!G10</f>
        <v>70535.418999999965</v>
      </c>
      <c r="H33" s="48">
        <f>+Grunnlagstall!H10</f>
        <v>102665.82381999964</v>
      </c>
      <c r="I33" s="48">
        <f>+Grunnlagstall!I10</f>
        <v>58978.757180000401</v>
      </c>
      <c r="J33" s="48">
        <f>+Grunnlagstall!J10</f>
        <v>61144.122009995088</v>
      </c>
      <c r="K33" s="48">
        <f>+Grunnlagstall!K10</f>
        <v>57776.199069998082</v>
      </c>
      <c r="L33" s="48">
        <f>+Grunnlagstall!L10</f>
        <v>83436.168990000238</v>
      </c>
      <c r="M33" s="48">
        <f>+Grunnlagstall!M10</f>
        <v>42262.246000000057</v>
      </c>
      <c r="N33" s="48">
        <f>+Grunnlagstall!N10</f>
        <v>54679.009679999588</v>
      </c>
      <c r="O33" s="48">
        <f>+Grunnlagstall!O10</f>
        <v>54276.084140001709</v>
      </c>
      <c r="P33" s="49">
        <f>+Grunnlagstall!P10</f>
        <v>54907.300619999311</v>
      </c>
      <c r="R33" s="28"/>
    </row>
    <row r="34" spans="1:20" x14ac:dyDescent="0.2">
      <c r="A34" s="47" t="s">
        <v>136</v>
      </c>
      <c r="B34" s="65" t="s">
        <v>137</v>
      </c>
      <c r="C34" s="48">
        <f>+Grunnlagstall!C15</f>
        <v>1948</v>
      </c>
      <c r="D34" s="48">
        <f>+Grunnlagstall!D15</f>
        <v>2785</v>
      </c>
      <c r="E34" s="48">
        <f>+Grunnlagstall!E15</f>
        <v>2596</v>
      </c>
      <c r="F34" s="48">
        <f>+Grunnlagstall!F15</f>
        <v>2693</v>
      </c>
      <c r="G34" s="48">
        <f>+Grunnlagstall!G15</f>
        <v>2427</v>
      </c>
      <c r="H34" s="48">
        <f>+Grunnlagstall!H15</f>
        <v>2352</v>
      </c>
      <c r="I34" s="48">
        <f>+Grunnlagstall!I15</f>
        <v>2174</v>
      </c>
      <c r="J34" s="48">
        <f>+Grunnlagstall!J15</f>
        <v>2167</v>
      </c>
      <c r="K34" s="48">
        <f>+Grunnlagstall!K15</f>
        <v>1914</v>
      </c>
      <c r="L34" s="48">
        <f>+Grunnlagstall!L15</f>
        <v>1321</v>
      </c>
      <c r="M34" s="48">
        <f>+Grunnlagstall!M15</f>
        <v>1437</v>
      </c>
      <c r="N34" s="48">
        <f>+Grunnlagstall!N15</f>
        <v>1460</v>
      </c>
      <c r="O34" s="48">
        <f>+Grunnlagstall!O15</f>
        <v>1343</v>
      </c>
      <c r="P34" s="49">
        <f>+Grunnlagstall!P15</f>
        <v>1409</v>
      </c>
      <c r="R34" s="28"/>
    </row>
    <row r="35" spans="1:20" x14ac:dyDescent="0.2">
      <c r="A35" s="70" t="s">
        <v>138</v>
      </c>
      <c r="B35" s="66" t="s">
        <v>140</v>
      </c>
      <c r="C35" s="48">
        <f t="shared" ref="C35:D35" si="28">+C33-C34</f>
        <v>66070.69094</v>
      </c>
      <c r="D35" s="48">
        <f t="shared" si="28"/>
        <v>87670.469759999978</v>
      </c>
      <c r="E35" s="48">
        <f t="shared" ref="E35:K35" si="29">+E33-E34</f>
        <v>68530.520560000092</v>
      </c>
      <c r="F35" s="48">
        <f t="shared" si="29"/>
        <v>57483.948840000216</v>
      </c>
      <c r="G35" s="48">
        <f t="shared" si="29"/>
        <v>68108.418999999965</v>
      </c>
      <c r="H35" s="48">
        <f t="shared" si="29"/>
        <v>100313.82381999964</v>
      </c>
      <c r="I35" s="48">
        <f t="shared" si="29"/>
        <v>56804.757180000401</v>
      </c>
      <c r="J35" s="48">
        <f t="shared" si="29"/>
        <v>58977.122009995088</v>
      </c>
      <c r="K35" s="48">
        <f t="shared" si="29"/>
        <v>55862.199069998082</v>
      </c>
      <c r="L35" s="48">
        <f t="shared" ref="L35:P35" si="30">+L33-L34</f>
        <v>82115.168990000238</v>
      </c>
      <c r="M35" s="48">
        <f t="shared" si="30"/>
        <v>40825.246000000057</v>
      </c>
      <c r="N35" s="48">
        <f t="shared" si="30"/>
        <v>53219.009679999588</v>
      </c>
      <c r="O35" s="48">
        <f t="shared" si="30"/>
        <v>52933.084140001709</v>
      </c>
      <c r="P35" s="49">
        <f t="shared" si="30"/>
        <v>53498.300619999311</v>
      </c>
      <c r="R35" s="28"/>
    </row>
    <row r="36" spans="1:20" x14ac:dyDescent="0.2">
      <c r="A36" s="47" t="s">
        <v>105</v>
      </c>
      <c r="B36" s="65" t="s">
        <v>141</v>
      </c>
      <c r="C36" s="48">
        <f>+Grunnlagstall!C36</f>
        <v>2725332</v>
      </c>
      <c r="D36" s="48">
        <f>+Grunnlagstall!D36</f>
        <v>2668125</v>
      </c>
      <c r="E36" s="48">
        <f>+Grunnlagstall!E36</f>
        <v>2705464</v>
      </c>
      <c r="F36" s="48">
        <f>+Grunnlagstall!F36</f>
        <v>2677052</v>
      </c>
      <c r="G36" s="48">
        <f>+Grunnlagstall!G36</f>
        <v>2577254</v>
      </c>
      <c r="H36" s="48">
        <f>+Grunnlagstall!H36</f>
        <v>2515945</v>
      </c>
      <c r="I36" s="48">
        <f>+Grunnlagstall!I36</f>
        <v>2502892</v>
      </c>
      <c r="J36" s="48">
        <f>+Grunnlagstall!J36</f>
        <v>2414776</v>
      </c>
      <c r="K36" s="48">
        <f>+Grunnlagstall!K36</f>
        <v>2330778</v>
      </c>
      <c r="L36" s="48">
        <f>+Grunnlagstall!L36</f>
        <v>2291311</v>
      </c>
      <c r="M36" s="48">
        <f>+Grunnlagstall!M36</f>
        <v>2237474</v>
      </c>
      <c r="N36" s="48">
        <f>+Grunnlagstall!N36</f>
        <v>2159741</v>
      </c>
      <c r="O36" s="48">
        <f>+Grunnlagstall!O36</f>
        <v>2100382</v>
      </c>
      <c r="P36" s="49">
        <f>+Grunnlagstall!P36</f>
        <v>2056893</v>
      </c>
      <c r="R36" s="29"/>
      <c r="S36" s="25"/>
      <c r="T36" s="25"/>
    </row>
    <row r="37" spans="1:20" x14ac:dyDescent="0.2">
      <c r="A37" s="47" t="str">
        <f>+Grunnlagstall!A31</f>
        <v>Fondsobligasjoner gjennomsnittlig kvartal</v>
      </c>
      <c r="B37" s="65" t="s">
        <v>142</v>
      </c>
      <c r="C37" s="48">
        <f>+Grunnlagstall!C31</f>
        <v>107098</v>
      </c>
      <c r="D37" s="48">
        <f>+Grunnlagstall!D31</f>
        <v>135922</v>
      </c>
      <c r="E37" s="48">
        <f>+Grunnlagstall!E31</f>
        <v>125000</v>
      </c>
      <c r="F37" s="48">
        <f>+Grunnlagstall!F31</f>
        <v>125000</v>
      </c>
      <c r="G37" s="48">
        <f>+Grunnlagstall!G31</f>
        <v>125000</v>
      </c>
      <c r="H37" s="48">
        <f>+Grunnlagstall!H31</f>
        <v>125000</v>
      </c>
      <c r="I37" s="48">
        <f>+Grunnlagstall!I31</f>
        <v>125000</v>
      </c>
      <c r="J37" s="48">
        <f>+Grunnlagstall!J31</f>
        <v>125000</v>
      </c>
      <c r="K37" s="48">
        <f>+Grunnlagstall!K31</f>
        <v>125000</v>
      </c>
      <c r="L37" s="48">
        <f>+Grunnlagstall!L31</f>
        <v>125000</v>
      </c>
      <c r="M37" s="48">
        <f>+Grunnlagstall!M31</f>
        <v>125000</v>
      </c>
      <c r="N37" s="48">
        <f>+Grunnlagstall!N31</f>
        <v>137000</v>
      </c>
      <c r="O37" s="48">
        <f>+Grunnlagstall!O31</f>
        <v>143000</v>
      </c>
      <c r="P37" s="48">
        <f>+Grunnlagstall!P31</f>
        <v>143000</v>
      </c>
      <c r="R37" s="29"/>
      <c r="S37" s="25"/>
      <c r="T37" s="25"/>
    </row>
    <row r="38" spans="1:20" x14ac:dyDescent="0.2">
      <c r="A38" s="47" t="s">
        <v>143</v>
      </c>
      <c r="B38" s="66" t="s">
        <v>144</v>
      </c>
      <c r="C38" s="48">
        <f t="shared" ref="C38:D38" si="31">+C36-C37</f>
        <v>2618234</v>
      </c>
      <c r="D38" s="48">
        <f t="shared" si="31"/>
        <v>2532203</v>
      </c>
      <c r="E38" s="48">
        <f t="shared" ref="E38:K38" si="32">+E36-E37</f>
        <v>2580464</v>
      </c>
      <c r="F38" s="48">
        <f t="shared" si="32"/>
        <v>2552052</v>
      </c>
      <c r="G38" s="48">
        <f t="shared" si="32"/>
        <v>2452254</v>
      </c>
      <c r="H38" s="48">
        <f t="shared" si="32"/>
        <v>2390945</v>
      </c>
      <c r="I38" s="48">
        <f t="shared" si="32"/>
        <v>2377892</v>
      </c>
      <c r="J38" s="48">
        <f t="shared" si="32"/>
        <v>2289776</v>
      </c>
      <c r="K38" s="48">
        <f t="shared" si="32"/>
        <v>2205778</v>
      </c>
      <c r="L38" s="48">
        <f t="shared" ref="L38:P38" si="33">+L36-L37</f>
        <v>2166311</v>
      </c>
      <c r="M38" s="48">
        <f t="shared" si="33"/>
        <v>2112474</v>
      </c>
      <c r="N38" s="48">
        <f t="shared" si="33"/>
        <v>2022741</v>
      </c>
      <c r="O38" s="48">
        <f t="shared" si="33"/>
        <v>1957382</v>
      </c>
      <c r="P38" s="49">
        <f t="shared" si="33"/>
        <v>1913893</v>
      </c>
      <c r="R38" s="29"/>
      <c r="S38" s="25"/>
      <c r="T38" s="25"/>
    </row>
    <row r="39" spans="1:20" x14ac:dyDescent="0.2">
      <c r="A39" s="47" t="s">
        <v>77</v>
      </c>
      <c r="B39" s="66" t="s">
        <v>145</v>
      </c>
      <c r="C39" s="71">
        <f>+(C35*366/C4)/C38</f>
        <v>0.10039073833421273</v>
      </c>
      <c r="D39" s="71">
        <f>+(D35*366/D4)/D38</f>
        <v>0.1392497767956237</v>
      </c>
      <c r="E39" s="71">
        <f>+(E35*366/E4)/E38</f>
        <v>0.10681344422050969</v>
      </c>
      <c r="F39" s="71">
        <f t="shared" ref="F39:K39" si="34">+(F35*365/F4)/F38</f>
        <v>8.9363899625631515E-2</v>
      </c>
      <c r="G39" s="71">
        <f t="shared" si="34"/>
        <v>0.11018954369876781</v>
      </c>
      <c r="H39" s="71">
        <f t="shared" si="34"/>
        <v>0.16828394002886149</v>
      </c>
      <c r="I39" s="71">
        <f t="shared" si="34"/>
        <v>9.6881964598617157E-2</v>
      </c>
      <c r="J39" s="71">
        <f t="shared" si="34"/>
        <v>0.10218699166115607</v>
      </c>
      <c r="K39" s="71">
        <f t="shared" si="34"/>
        <v>0.10047575179009745</v>
      </c>
      <c r="L39" s="71">
        <f t="shared" ref="L39:P39" si="35">+(L35*365/L4)/L38</f>
        <v>0.15203866871118532</v>
      </c>
      <c r="M39" s="71">
        <f t="shared" si="35"/>
        <v>7.8376847820244164E-2</v>
      </c>
      <c r="N39" s="71">
        <f t="shared" si="35"/>
        <v>0.1043834263657251</v>
      </c>
      <c r="O39" s="71">
        <f t="shared" si="35"/>
        <v>0.10728935778982059</v>
      </c>
      <c r="P39" s="72">
        <f t="shared" si="35"/>
        <v>0.11211760317499664</v>
      </c>
      <c r="R39" s="29"/>
      <c r="S39" s="25"/>
      <c r="T39" s="25"/>
    </row>
    <row r="40" spans="1:20" x14ac:dyDescent="0.2">
      <c r="A40" s="44"/>
      <c r="B40" s="64"/>
      <c r="C40" s="42"/>
      <c r="D40" s="42"/>
      <c r="E40" s="42"/>
      <c r="F40" s="42"/>
      <c r="G40" s="42"/>
      <c r="H40" s="42"/>
      <c r="I40" s="42"/>
      <c r="J40" s="42"/>
      <c r="K40" s="42"/>
      <c r="L40" s="42"/>
      <c r="M40" s="42"/>
      <c r="N40" s="42"/>
      <c r="O40" s="42"/>
      <c r="P40" s="43"/>
      <c r="R40" s="29"/>
      <c r="S40" s="25"/>
      <c r="T40" s="25"/>
    </row>
    <row r="41" spans="1:20" x14ac:dyDescent="0.2">
      <c r="A41" s="41" t="s">
        <v>96</v>
      </c>
      <c r="B41" s="64" t="s">
        <v>135</v>
      </c>
      <c r="C41" s="45">
        <f>+Grunnlagstall!C10</f>
        <v>68018.69094</v>
      </c>
      <c r="D41" s="45">
        <f>+Grunnlagstall!D10</f>
        <v>90455.469759999978</v>
      </c>
      <c r="E41" s="45">
        <f>+Grunnlagstall!E10</f>
        <v>71126.520560000092</v>
      </c>
      <c r="F41" s="45">
        <f>+Grunnlagstall!F10</f>
        <v>60176.948840000216</v>
      </c>
      <c r="G41" s="45">
        <f>+Grunnlagstall!G10</f>
        <v>70535.418999999965</v>
      </c>
      <c r="H41" s="45">
        <f>+Grunnlagstall!H10</f>
        <v>102665.82381999964</v>
      </c>
      <c r="I41" s="45">
        <f>+Grunnlagstall!I10</f>
        <v>58978.757180000401</v>
      </c>
      <c r="J41" s="45">
        <f>+Grunnlagstall!J10</f>
        <v>61144.122009995088</v>
      </c>
      <c r="K41" s="45">
        <f>+Grunnlagstall!K10</f>
        <v>57776.199069998082</v>
      </c>
      <c r="L41" s="45">
        <f>+Grunnlagstall!L10</f>
        <v>83436.168990000238</v>
      </c>
      <c r="M41" s="45">
        <f>+Grunnlagstall!M10</f>
        <v>42262.246000000057</v>
      </c>
      <c r="N41" s="45">
        <f>+Grunnlagstall!N10</f>
        <v>54679.009679999588</v>
      </c>
      <c r="O41" s="45">
        <f>+Grunnlagstall!O10</f>
        <v>54276.084140001709</v>
      </c>
      <c r="P41" s="46">
        <f>+Grunnlagstall!P10</f>
        <v>54907.300619999311</v>
      </c>
      <c r="R41" s="29"/>
      <c r="S41" s="25"/>
      <c r="T41" s="25"/>
    </row>
    <row r="42" spans="1:20" x14ac:dyDescent="0.2">
      <c r="A42" s="41" t="s">
        <v>105</v>
      </c>
      <c r="B42" s="64" t="s">
        <v>141</v>
      </c>
      <c r="C42" s="45">
        <f>+Grunnlagstall!C36</f>
        <v>2725332</v>
      </c>
      <c r="D42" s="45">
        <f>+Grunnlagstall!D36</f>
        <v>2668125</v>
      </c>
      <c r="E42" s="45">
        <f>+Grunnlagstall!E36</f>
        <v>2705464</v>
      </c>
      <c r="F42" s="45">
        <f>+Grunnlagstall!F36</f>
        <v>2677052</v>
      </c>
      <c r="G42" s="45">
        <f>+Grunnlagstall!G36</f>
        <v>2577254</v>
      </c>
      <c r="H42" s="45">
        <f>+Grunnlagstall!H36</f>
        <v>2515945</v>
      </c>
      <c r="I42" s="45">
        <f>+Grunnlagstall!I36</f>
        <v>2502892</v>
      </c>
      <c r="J42" s="45">
        <f>+Grunnlagstall!J36</f>
        <v>2414776</v>
      </c>
      <c r="K42" s="45">
        <f>+Grunnlagstall!K36</f>
        <v>2330778</v>
      </c>
      <c r="L42" s="45">
        <f>+Grunnlagstall!L36</f>
        <v>2291311</v>
      </c>
      <c r="M42" s="45">
        <f>+Grunnlagstall!M36</f>
        <v>2237474</v>
      </c>
      <c r="N42" s="45">
        <f>+Grunnlagstall!N36</f>
        <v>2159741</v>
      </c>
      <c r="O42" s="45">
        <f>+Grunnlagstall!O36</f>
        <v>2100382</v>
      </c>
      <c r="P42" s="46">
        <f>+Grunnlagstall!P36</f>
        <v>2056893</v>
      </c>
      <c r="R42" s="28"/>
    </row>
    <row r="43" spans="1:20" x14ac:dyDescent="0.2">
      <c r="A43" s="41" t="s">
        <v>78</v>
      </c>
      <c r="B43" s="67" t="s">
        <v>146</v>
      </c>
      <c r="C43" s="52">
        <f>+(C41*366/C4)/C42</f>
        <v>9.9289222951791628E-2</v>
      </c>
      <c r="D43" s="52">
        <f>+(D41*366/D4)/D42</f>
        <v>0.13635414807867605</v>
      </c>
      <c r="E43" s="52">
        <f>+(E41*366/E4)/E42</f>
        <v>0.10573761191133509</v>
      </c>
      <c r="F43" s="52">
        <f t="shared" ref="F43:G43" si="36">+(F41*365/F4)/F42</f>
        <v>8.9182243583613943E-2</v>
      </c>
      <c r="G43" s="52">
        <f t="shared" si="36"/>
        <v>0.10858130707688506</v>
      </c>
      <c r="H43" s="52">
        <f t="shared" ref="H43:I43" si="37">+(H41*365/H4)/H42</f>
        <v>0.16367269202870191</v>
      </c>
      <c r="I43" s="52">
        <f t="shared" si="37"/>
        <v>9.5566099672344126E-2</v>
      </c>
      <c r="J43" s="52">
        <f t="shared" ref="J43:P43" si="38">+(J41*365/J4)/J42</f>
        <v>0.10045762338802318</v>
      </c>
      <c r="K43" s="52">
        <f t="shared" si="38"/>
        <v>9.8345183363057032E-2</v>
      </c>
      <c r="L43" s="52">
        <f t="shared" si="38"/>
        <v>0.14605680195220683</v>
      </c>
      <c r="M43" s="52">
        <f t="shared" si="38"/>
        <v>7.6602850605439796E-2</v>
      </c>
      <c r="N43" s="52">
        <f t="shared" si="38"/>
        <v>0.10044400117179837</v>
      </c>
      <c r="O43" s="52">
        <f t="shared" si="38"/>
        <v>0.10252157190982104</v>
      </c>
      <c r="P43" s="53">
        <f t="shared" si="38"/>
        <v>0.10707050848531613</v>
      </c>
      <c r="R43" s="28"/>
    </row>
    <row r="44" spans="1:20" x14ac:dyDescent="0.2">
      <c r="A44" s="41"/>
      <c r="B44" s="64"/>
      <c r="C44" s="131"/>
      <c r="D44" s="131"/>
      <c r="E44" s="131"/>
      <c r="F44" s="131"/>
      <c r="G44" s="131"/>
      <c r="H44" s="131"/>
      <c r="I44" s="131"/>
      <c r="J44" s="131"/>
      <c r="K44" s="42"/>
      <c r="L44" s="42"/>
      <c r="M44" s="42"/>
      <c r="N44" s="42"/>
      <c r="O44" s="42"/>
      <c r="P44" s="43"/>
      <c r="R44" s="28"/>
    </row>
    <row r="45" spans="1:20" x14ac:dyDescent="0.2">
      <c r="A45" s="70" t="s">
        <v>103</v>
      </c>
      <c r="B45" s="65" t="s">
        <v>142</v>
      </c>
      <c r="C45" s="48">
        <f>+Grunnlagstall!C24</f>
        <v>22594502.437619999</v>
      </c>
      <c r="D45" s="48">
        <f>+Grunnlagstall!D24</f>
        <v>22667928.088609997</v>
      </c>
      <c r="E45" s="48">
        <f>+Grunnlagstall!E24</f>
        <v>22351973.26895</v>
      </c>
      <c r="F45" s="48">
        <f>+Grunnlagstall!F24</f>
        <v>22323320.255870003</v>
      </c>
      <c r="G45" s="48">
        <f>+Grunnlagstall!G24</f>
        <v>21788823</v>
      </c>
      <c r="H45" s="48">
        <f>+Grunnlagstall!H24</f>
        <v>22136236.583860002</v>
      </c>
      <c r="I45" s="48">
        <f>+Grunnlagstall!I24</f>
        <v>22119882.199110031</v>
      </c>
      <c r="J45" s="48">
        <f>+Grunnlagstall!J24</f>
        <v>21974314.547970034</v>
      </c>
      <c r="K45" s="48">
        <f>+Grunnlagstall!K24</f>
        <v>22050085.62483</v>
      </c>
      <c r="L45" s="48">
        <f>+Grunnlagstall!L24</f>
        <v>21949215.152980071</v>
      </c>
      <c r="M45" s="48">
        <f>+Grunnlagstall!M24</f>
        <v>21203324.595910076</v>
      </c>
      <c r="N45" s="48">
        <f>+Grunnlagstall!N24</f>
        <v>20843345</v>
      </c>
      <c r="O45" s="48">
        <f>+Grunnlagstall!O24</f>
        <v>20670818.58611</v>
      </c>
      <c r="P45" s="49">
        <f>+Grunnlagstall!P24</f>
        <v>20034418</v>
      </c>
      <c r="R45" s="28"/>
    </row>
    <row r="46" spans="1:20" x14ac:dyDescent="0.2">
      <c r="A46" s="70" t="s">
        <v>106</v>
      </c>
      <c r="B46" s="65" t="s">
        <v>119</v>
      </c>
      <c r="C46" s="48">
        <f t="shared" ref="C46" si="39">+C6</f>
        <v>81</v>
      </c>
      <c r="D46" s="48">
        <f t="shared" ref="D46:E46" si="40">+D6</f>
        <v>88</v>
      </c>
      <c r="E46" s="48">
        <f t="shared" si="40"/>
        <v>87</v>
      </c>
      <c r="F46" s="48">
        <f t="shared" ref="F46:G46" si="41">+F6</f>
        <v>88</v>
      </c>
      <c r="G46" s="48">
        <f t="shared" si="41"/>
        <v>87</v>
      </c>
      <c r="H46" s="48">
        <f t="shared" ref="H46:I46" si="42">+H6</f>
        <v>89.51</v>
      </c>
      <c r="I46" s="48">
        <f t="shared" si="42"/>
        <v>89.51</v>
      </c>
      <c r="J46" s="48">
        <f t="shared" ref="J46:P46" si="43">+J6</f>
        <v>90</v>
      </c>
      <c r="K46" s="48">
        <f t="shared" si="43"/>
        <v>88</v>
      </c>
      <c r="L46" s="48">
        <f t="shared" si="43"/>
        <v>88</v>
      </c>
      <c r="M46" s="48">
        <f t="shared" si="43"/>
        <v>88</v>
      </c>
      <c r="N46" s="48">
        <f t="shared" si="43"/>
        <v>89</v>
      </c>
      <c r="O46" s="48">
        <f t="shared" si="43"/>
        <v>90</v>
      </c>
      <c r="P46" s="49">
        <f t="shared" si="43"/>
        <v>88.7</v>
      </c>
      <c r="R46" s="28"/>
    </row>
    <row r="47" spans="1:20" x14ac:dyDescent="0.2">
      <c r="A47" s="47" t="s">
        <v>28</v>
      </c>
      <c r="B47" s="66" t="s">
        <v>148</v>
      </c>
      <c r="C47" s="147">
        <f t="shared" ref="C47:D47" si="44">+C45/C46</f>
        <v>278944.47453851852</v>
      </c>
      <c r="D47" s="147">
        <f t="shared" si="44"/>
        <v>257590.09191602271</v>
      </c>
      <c r="E47" s="147">
        <f t="shared" ref="E47:K47" si="45">+E45/E46</f>
        <v>256919.23297643679</v>
      </c>
      <c r="F47" s="147">
        <f t="shared" si="45"/>
        <v>253674.09381670458</v>
      </c>
      <c r="G47" s="147">
        <f t="shared" si="45"/>
        <v>250446.24137931035</v>
      </c>
      <c r="H47" s="147">
        <f t="shared" si="45"/>
        <v>247304.62053245449</v>
      </c>
      <c r="I47" s="147">
        <f t="shared" si="45"/>
        <v>247121.91039112982</v>
      </c>
      <c r="J47" s="147">
        <f t="shared" si="45"/>
        <v>244159.05053300038</v>
      </c>
      <c r="K47" s="147">
        <f t="shared" si="45"/>
        <v>250569.15482761365</v>
      </c>
      <c r="L47" s="147">
        <f t="shared" ref="L47:P47" si="46">+L45/L46</f>
        <v>249422.89946568263</v>
      </c>
      <c r="M47" s="147">
        <f t="shared" si="46"/>
        <v>240946.87040806905</v>
      </c>
      <c r="N47" s="147">
        <f t="shared" si="46"/>
        <v>234194.88764044945</v>
      </c>
      <c r="O47" s="147">
        <f t="shared" si="46"/>
        <v>229675.76206788889</v>
      </c>
      <c r="P47" s="148">
        <f t="shared" si="46"/>
        <v>225867.1702367531</v>
      </c>
      <c r="R47" s="28"/>
    </row>
    <row r="48" spans="1:20" x14ac:dyDescent="0.2">
      <c r="A48" s="41"/>
      <c r="B48" s="64"/>
      <c r="C48" s="42"/>
      <c r="D48" s="42"/>
      <c r="E48" s="42"/>
      <c r="F48" s="42"/>
      <c r="G48" s="42"/>
      <c r="H48" s="42"/>
      <c r="I48" s="42"/>
      <c r="J48" s="42"/>
      <c r="K48" s="42"/>
      <c r="L48" s="42"/>
      <c r="M48" s="42"/>
      <c r="N48" s="42"/>
      <c r="O48" s="42"/>
      <c r="P48" s="43"/>
      <c r="R48" s="28"/>
    </row>
    <row r="49" spans="1:18" x14ac:dyDescent="0.2">
      <c r="A49" s="41" t="s">
        <v>99</v>
      </c>
      <c r="B49" s="64" t="s">
        <v>149</v>
      </c>
      <c r="C49" s="45">
        <f>+Grunnlagstall!C20</f>
        <v>11476103.036310002</v>
      </c>
      <c r="D49" s="45">
        <f>+Grunnlagstall!D20</f>
        <v>11616194.708339998</v>
      </c>
      <c r="E49" s="45">
        <f>+Grunnlagstall!E20</f>
        <v>11066569.629050002</v>
      </c>
      <c r="F49" s="45">
        <f>+Grunnlagstall!F20</f>
        <v>10712433.58365</v>
      </c>
      <c r="G49" s="45">
        <f>+Grunnlagstall!G20</f>
        <v>10598966.461999999</v>
      </c>
      <c r="H49" s="45">
        <f>+Grunnlagstall!H20</f>
        <v>10838042.538000001</v>
      </c>
      <c r="I49" s="45">
        <f>+Grunnlagstall!I20</f>
        <v>10671566.552750032</v>
      </c>
      <c r="J49" s="45">
        <f>+Grunnlagstall!J20</f>
        <v>10651204.762010034</v>
      </c>
      <c r="K49" s="45">
        <f>+Grunnlagstall!K20</f>
        <v>10658593.773430044</v>
      </c>
      <c r="L49" s="45">
        <f>+Grunnlagstall!L20</f>
        <v>10904126.716830069</v>
      </c>
      <c r="M49" s="45">
        <f>+Grunnlagstall!M20</f>
        <v>10028321.423190072</v>
      </c>
      <c r="N49" s="45">
        <f>+Grunnlagstall!N20</f>
        <v>9923174.4379000552</v>
      </c>
      <c r="O49" s="45">
        <f>+Grunnlagstall!O20</f>
        <v>10034092.177220032</v>
      </c>
      <c r="P49" s="46">
        <f>+Grunnlagstall!P20</f>
        <v>10068578.189180031</v>
      </c>
      <c r="R49" s="28"/>
    </row>
    <row r="50" spans="1:18" x14ac:dyDescent="0.2">
      <c r="A50" s="41" t="s">
        <v>98</v>
      </c>
      <c r="B50" s="64" t="s">
        <v>150</v>
      </c>
      <c r="C50" s="45">
        <f>+Grunnlagstall!C19</f>
        <v>19763722.567200005</v>
      </c>
      <c r="D50" s="45">
        <f>+Grunnlagstall!D19</f>
        <v>19374754.813400004</v>
      </c>
      <c r="E50" s="45">
        <f>+Grunnlagstall!E19</f>
        <v>18785430.832879998</v>
      </c>
      <c r="F50" s="45">
        <f>+Grunnlagstall!F19</f>
        <v>18521993.758899998</v>
      </c>
      <c r="G50" s="45">
        <f>+Grunnlagstall!G19</f>
        <v>18764829.274999999</v>
      </c>
      <c r="H50" s="45">
        <f>+Grunnlagstall!H19</f>
        <v>19228385.669</v>
      </c>
      <c r="I50" s="45">
        <f>+Grunnlagstall!I19</f>
        <v>18802793.790859867</v>
      </c>
      <c r="J50" s="45">
        <f>+Grunnlagstall!J19</f>
        <v>18836623.624359865</v>
      </c>
      <c r="K50" s="45">
        <f>+Grunnlagstall!K19</f>
        <v>18858337.343439784</v>
      </c>
      <c r="L50" s="45">
        <f>+Grunnlagstall!L19</f>
        <v>18548959.305619802</v>
      </c>
      <c r="M50" s="45">
        <f>+Grunnlagstall!M19</f>
        <v>17967360.297719706</v>
      </c>
      <c r="N50" s="45">
        <f>+Grunnlagstall!N19</f>
        <v>17730021.602289729</v>
      </c>
      <c r="O50" s="45">
        <f>+Grunnlagstall!O19</f>
        <v>17778799.599719867</v>
      </c>
      <c r="P50" s="46">
        <f>+Grunnlagstall!P19</f>
        <v>17358838.674029812</v>
      </c>
      <c r="R50" s="28"/>
    </row>
    <row r="51" spans="1:18" x14ac:dyDescent="0.2">
      <c r="A51" s="44" t="s">
        <v>79</v>
      </c>
      <c r="B51" s="67" t="s">
        <v>151</v>
      </c>
      <c r="C51" s="54">
        <f t="shared" ref="C51:D51" si="47">+C49*100/C50</f>
        <v>58.066505423203083</v>
      </c>
      <c r="D51" s="54">
        <f t="shared" si="47"/>
        <v>59.95531205538655</v>
      </c>
      <c r="E51" s="54">
        <f t="shared" ref="E51:K51" si="48">+E49*100/E50</f>
        <v>58.910385007940668</v>
      </c>
      <c r="F51" s="54">
        <f t="shared" si="48"/>
        <v>57.836287621588099</v>
      </c>
      <c r="G51" s="54">
        <f t="shared" si="48"/>
        <v>56.483148909437652</v>
      </c>
      <c r="H51" s="54">
        <f t="shared" si="48"/>
        <v>56.364807345595786</v>
      </c>
      <c r="I51" s="54">
        <f t="shared" si="48"/>
        <v>56.755217716303065</v>
      </c>
      <c r="J51" s="54">
        <f t="shared" si="48"/>
        <v>56.545190764632054</v>
      </c>
      <c r="K51" s="54">
        <f t="shared" si="48"/>
        <v>56.519265613507699</v>
      </c>
      <c r="L51" s="54">
        <f t="shared" ref="L51:P51" si="49">+L49*100/L50</f>
        <v>58.785652268515314</v>
      </c>
      <c r="M51" s="54">
        <f t="shared" si="49"/>
        <v>55.814105450219067</v>
      </c>
      <c r="N51" s="54">
        <f t="shared" si="49"/>
        <v>55.968202749502211</v>
      </c>
      <c r="O51" s="54">
        <f t="shared" si="49"/>
        <v>56.438524552457046</v>
      </c>
      <c r="P51" s="55">
        <f t="shared" si="49"/>
        <v>58.002602468121417</v>
      </c>
      <c r="R51" s="28"/>
    </row>
    <row r="52" spans="1:18" x14ac:dyDescent="0.2">
      <c r="A52" s="44"/>
      <c r="B52" s="64"/>
      <c r="C52" s="131"/>
      <c r="D52" s="131"/>
      <c r="E52" s="131"/>
      <c r="F52" s="131"/>
      <c r="G52" s="131"/>
      <c r="H52" s="131"/>
      <c r="I52" s="131"/>
      <c r="J52" s="131"/>
      <c r="K52" s="42"/>
      <c r="L52" s="42"/>
      <c r="M52" s="42"/>
      <c r="N52" s="42"/>
      <c r="O52" s="42"/>
      <c r="P52" s="43"/>
      <c r="R52" s="28"/>
    </row>
    <row r="53" spans="1:18" x14ac:dyDescent="0.2">
      <c r="A53" s="70" t="s">
        <v>152</v>
      </c>
      <c r="B53" s="65" t="s">
        <v>150</v>
      </c>
      <c r="C53" s="48">
        <f t="shared" ref="C53" si="50">+C50</f>
        <v>19763722.567200005</v>
      </c>
      <c r="D53" s="48">
        <f t="shared" ref="D53:E53" si="51">+D50</f>
        <v>19374754.813400004</v>
      </c>
      <c r="E53" s="48">
        <f t="shared" si="51"/>
        <v>18785430.832879998</v>
      </c>
      <c r="F53" s="48">
        <f t="shared" ref="F53:K53" si="52">+F50</f>
        <v>18521993.758899998</v>
      </c>
      <c r="G53" s="48">
        <f t="shared" si="52"/>
        <v>18764829.274999999</v>
      </c>
      <c r="H53" s="48">
        <f t="shared" si="52"/>
        <v>19228385.669</v>
      </c>
      <c r="I53" s="48">
        <f t="shared" si="52"/>
        <v>18802793.790859867</v>
      </c>
      <c r="J53" s="48">
        <f t="shared" si="52"/>
        <v>18836623.624359865</v>
      </c>
      <c r="K53" s="48">
        <f t="shared" si="52"/>
        <v>18858337.343439784</v>
      </c>
      <c r="L53" s="48">
        <f t="shared" ref="L53:P53" si="53">+L50</f>
        <v>18548959.305619802</v>
      </c>
      <c r="M53" s="48">
        <f t="shared" si="53"/>
        <v>17967360.297719706</v>
      </c>
      <c r="N53" s="48">
        <f t="shared" si="53"/>
        <v>17730021.602289729</v>
      </c>
      <c r="O53" s="48">
        <f t="shared" si="53"/>
        <v>17778799.599719867</v>
      </c>
      <c r="P53" s="49">
        <f t="shared" si="53"/>
        <v>17358838.674029812</v>
      </c>
      <c r="R53" s="28"/>
    </row>
    <row r="54" spans="1:18" x14ac:dyDescent="0.2">
      <c r="A54" s="70" t="s">
        <v>153</v>
      </c>
      <c r="B54" s="65" t="s">
        <v>155</v>
      </c>
      <c r="C54" s="48">
        <f>+Grunnlagstall!G19</f>
        <v>18764829.274999999</v>
      </c>
      <c r="D54" s="48">
        <f>+Grunnlagstall!H19</f>
        <v>19228385.669</v>
      </c>
      <c r="E54" s="48">
        <f>+Grunnlagstall!I19</f>
        <v>18802793.790859867</v>
      </c>
      <c r="F54" s="48">
        <f>+Grunnlagstall!J19</f>
        <v>18836623.624359865</v>
      </c>
      <c r="G54" s="48">
        <f>+Grunnlagstall!K19</f>
        <v>18858337.343439784</v>
      </c>
      <c r="H54" s="48">
        <f>+Grunnlagstall!L19</f>
        <v>18548959.305619802</v>
      </c>
      <c r="I54" s="48">
        <f>+Grunnlagstall!M19</f>
        <v>17967360.297719706</v>
      </c>
      <c r="J54" s="48">
        <f>+Grunnlagstall!N19</f>
        <v>17730021.602289729</v>
      </c>
      <c r="K54" s="48">
        <f>+Grunnlagstall!O19</f>
        <v>17778799.599719867</v>
      </c>
      <c r="L54" s="48">
        <f>+Grunnlagstall!P19</f>
        <v>17358838.674029812</v>
      </c>
      <c r="M54" s="48">
        <f>+Grunnlagstall!Q19</f>
        <v>16167063.651719812</v>
      </c>
      <c r="N54" s="48">
        <f>+Grunnlagstall!R19</f>
        <v>15679321.866809871</v>
      </c>
      <c r="O54" s="48">
        <f>+Grunnlagstall!S19</f>
        <v>15478086.649019852</v>
      </c>
      <c r="P54" s="49">
        <f>+Grunnlagstall!T19</f>
        <v>15228749.09817986</v>
      </c>
      <c r="R54" s="28"/>
    </row>
    <row r="55" spans="1:18" x14ac:dyDescent="0.2">
      <c r="A55" s="70" t="s">
        <v>154</v>
      </c>
      <c r="B55" s="66" t="s">
        <v>159</v>
      </c>
      <c r="C55" s="48">
        <f t="shared" ref="C55" si="54">+C53-C54</f>
        <v>998893.29220000654</v>
      </c>
      <c r="D55" s="48">
        <f t="shared" ref="D55:E55" si="55">+D53-D54</f>
        <v>146369.1444000043</v>
      </c>
      <c r="E55" s="48">
        <f t="shared" si="55"/>
        <v>-17362.957979869097</v>
      </c>
      <c r="F55" s="48">
        <f t="shared" ref="F55:L55" si="56">+F53-F54</f>
        <v>-314629.86545986682</v>
      </c>
      <c r="G55" s="48">
        <f t="shared" si="56"/>
        <v>-93508.068439785391</v>
      </c>
      <c r="H55" s="48">
        <f t="shared" si="56"/>
        <v>679426.36338019744</v>
      </c>
      <c r="I55" s="48">
        <f t="shared" si="56"/>
        <v>835433.49314016104</v>
      </c>
      <c r="J55" s="48">
        <f t="shared" si="56"/>
        <v>1106602.0220701359</v>
      </c>
      <c r="K55" s="48">
        <f t="shared" si="56"/>
        <v>1079537.7437199168</v>
      </c>
      <c r="L55" s="48">
        <f t="shared" si="56"/>
        <v>1190120.6315899901</v>
      </c>
      <c r="M55" s="48">
        <f t="shared" ref="M55:P55" si="57">+M53-M54</f>
        <v>1800296.6459998935</v>
      </c>
      <c r="N55" s="48">
        <f t="shared" si="57"/>
        <v>2050699.7354798578</v>
      </c>
      <c r="O55" s="48">
        <f t="shared" si="57"/>
        <v>2300712.9507000148</v>
      </c>
      <c r="P55" s="49">
        <f t="shared" si="57"/>
        <v>2130089.5758499522</v>
      </c>
      <c r="R55" s="28"/>
    </row>
    <row r="56" spans="1:18" x14ac:dyDescent="0.2">
      <c r="A56" s="47" t="s">
        <v>80</v>
      </c>
      <c r="B56" s="66" t="s">
        <v>160</v>
      </c>
      <c r="C56" s="50">
        <f t="shared" ref="C56" si="58">+C55/C54</f>
        <v>5.3232207848051771E-2</v>
      </c>
      <c r="D56" s="50">
        <f t="shared" ref="D56:E56" si="59">+D55/D54</f>
        <v>7.6121389969819779E-3</v>
      </c>
      <c r="E56" s="50">
        <f t="shared" si="59"/>
        <v>-9.2342436836749867E-4</v>
      </c>
      <c r="F56" s="50">
        <f t="shared" ref="F56:L56" si="60">+F55/F54</f>
        <v>-1.6703092429631698E-2</v>
      </c>
      <c r="G56" s="50">
        <f t="shared" si="60"/>
        <v>-4.9584471174132366E-3</v>
      </c>
      <c r="H56" s="50">
        <f t="shared" si="60"/>
        <v>3.6628813087877701E-2</v>
      </c>
      <c r="I56" s="50">
        <f t="shared" si="60"/>
        <v>4.649728615094275E-2</v>
      </c>
      <c r="J56" s="50">
        <f t="shared" si="60"/>
        <v>6.2414025594149568E-2</v>
      </c>
      <c r="K56" s="50">
        <f t="shared" si="60"/>
        <v>6.0720508022202274E-2</v>
      </c>
      <c r="L56" s="50">
        <f t="shared" si="60"/>
        <v>6.8559922350710262E-2</v>
      </c>
      <c r="M56" s="50">
        <f t="shared" ref="M56:P56" si="61">+M55/M54</f>
        <v>0.11135582099402339</v>
      </c>
      <c r="N56" s="50">
        <f t="shared" si="61"/>
        <v>0.13079007835286532</v>
      </c>
      <c r="O56" s="50">
        <f t="shared" si="61"/>
        <v>0.14864324014142324</v>
      </c>
      <c r="P56" s="51">
        <f t="shared" si="61"/>
        <v>0.13987291813117733</v>
      </c>
      <c r="R56" s="28"/>
    </row>
    <row r="57" spans="1:18" x14ac:dyDescent="0.2">
      <c r="A57" s="41"/>
      <c r="B57" s="64"/>
      <c r="C57" s="45"/>
      <c r="D57" s="45"/>
      <c r="E57" s="45"/>
      <c r="F57" s="45"/>
      <c r="G57" s="45"/>
      <c r="H57" s="45"/>
      <c r="I57" s="45"/>
      <c r="J57" s="45"/>
      <c r="K57" s="45"/>
      <c r="L57" s="42"/>
      <c r="M57" s="42"/>
      <c r="N57" s="42"/>
      <c r="O57" s="42"/>
      <c r="P57" s="43"/>
      <c r="R57" s="28"/>
    </row>
    <row r="58" spans="1:18" x14ac:dyDescent="0.2">
      <c r="A58" s="41" t="s">
        <v>99</v>
      </c>
      <c r="B58" s="64" t="s">
        <v>149</v>
      </c>
      <c r="C58" s="45">
        <f t="shared" ref="C58" si="62">+C49</f>
        <v>11476103.036310002</v>
      </c>
      <c r="D58" s="45">
        <f t="shared" ref="D58:E58" si="63">+D49</f>
        <v>11616194.708339998</v>
      </c>
      <c r="E58" s="45">
        <f t="shared" si="63"/>
        <v>11066569.629050002</v>
      </c>
      <c r="F58" s="45">
        <f t="shared" ref="F58:K58" si="64">+F49</f>
        <v>10712433.58365</v>
      </c>
      <c r="G58" s="45">
        <f t="shared" si="64"/>
        <v>10598966.461999999</v>
      </c>
      <c r="H58" s="45">
        <f t="shared" si="64"/>
        <v>10838042.538000001</v>
      </c>
      <c r="I58" s="45">
        <f t="shared" si="64"/>
        <v>10671566.552750032</v>
      </c>
      <c r="J58" s="45">
        <f t="shared" si="64"/>
        <v>10651204.762010034</v>
      </c>
      <c r="K58" s="45">
        <f t="shared" si="64"/>
        <v>10658593.773430044</v>
      </c>
      <c r="L58" s="45">
        <f t="shared" ref="L58:P58" si="65">+L49</f>
        <v>10904126.716830069</v>
      </c>
      <c r="M58" s="45">
        <f t="shared" si="65"/>
        <v>10028321.423190072</v>
      </c>
      <c r="N58" s="45">
        <f t="shared" si="65"/>
        <v>9923174.4379000552</v>
      </c>
      <c r="O58" s="45">
        <f t="shared" si="65"/>
        <v>10034092.177220032</v>
      </c>
      <c r="P58" s="46">
        <f t="shared" si="65"/>
        <v>10068578.189180031</v>
      </c>
      <c r="R58" s="28"/>
    </row>
    <row r="59" spans="1:18" x14ac:dyDescent="0.2">
      <c r="A59" s="41" t="s">
        <v>156</v>
      </c>
      <c r="B59" s="64" t="s">
        <v>158</v>
      </c>
      <c r="C59" s="45">
        <f>+Grunnlagstall!G20</f>
        <v>10598966.461999999</v>
      </c>
      <c r="D59" s="45">
        <f>+Grunnlagstall!H20</f>
        <v>10838042.538000001</v>
      </c>
      <c r="E59" s="45">
        <f>+Grunnlagstall!I20</f>
        <v>10671566.552750032</v>
      </c>
      <c r="F59" s="45">
        <f>+Grunnlagstall!J20</f>
        <v>10651204.762010034</v>
      </c>
      <c r="G59" s="45">
        <f>+Grunnlagstall!K20</f>
        <v>10658593.773430044</v>
      </c>
      <c r="H59" s="45">
        <f>+Grunnlagstall!L20</f>
        <v>10904126.716830069</v>
      </c>
      <c r="I59" s="45">
        <f>+Grunnlagstall!M20</f>
        <v>10028321.423190072</v>
      </c>
      <c r="J59" s="45">
        <f>+Grunnlagstall!N20</f>
        <v>9923174.4379000552</v>
      </c>
      <c r="K59" s="45">
        <f>+Grunnlagstall!O20</f>
        <v>10034092.177220032</v>
      </c>
      <c r="L59" s="45">
        <f>+Grunnlagstall!P20</f>
        <v>10068578.189180031</v>
      </c>
      <c r="M59" s="45">
        <f>+Grunnlagstall!Q20</f>
        <v>9933980.8027600218</v>
      </c>
      <c r="N59" s="45">
        <f>+Grunnlagstall!R20</f>
        <v>9903986.891990032</v>
      </c>
      <c r="O59" s="45">
        <f>+Grunnlagstall!S20</f>
        <v>9714233.5407400448</v>
      </c>
      <c r="P59" s="46">
        <f>+Grunnlagstall!T20</f>
        <v>9856150.2072700337</v>
      </c>
      <c r="R59" s="28"/>
    </row>
    <row r="60" spans="1:18" x14ac:dyDescent="0.2">
      <c r="A60" s="44" t="s">
        <v>157</v>
      </c>
      <c r="B60" s="67" t="s">
        <v>161</v>
      </c>
      <c r="C60" s="45">
        <f t="shared" ref="C60:D60" si="66">+C58-C59</f>
        <v>877136.57431000285</v>
      </c>
      <c r="D60" s="45">
        <f t="shared" si="66"/>
        <v>778152.17033999786</v>
      </c>
      <c r="E60" s="45">
        <f t="shared" ref="E60:K60" si="67">+E58-E59</f>
        <v>395003.07629996911</v>
      </c>
      <c r="F60" s="45">
        <f t="shared" si="67"/>
        <v>61228.82163996622</v>
      </c>
      <c r="G60" s="45">
        <f t="shared" si="67"/>
        <v>-59627.311430044472</v>
      </c>
      <c r="H60" s="45">
        <f t="shared" si="67"/>
        <v>-66084.178830068558</v>
      </c>
      <c r="I60" s="45">
        <f t="shared" si="67"/>
        <v>643245.12955996022</v>
      </c>
      <c r="J60" s="45">
        <f t="shared" si="67"/>
        <v>728030.32410997897</v>
      </c>
      <c r="K60" s="45">
        <f t="shared" si="67"/>
        <v>624501.59621001221</v>
      </c>
      <c r="L60" s="45">
        <f t="shared" ref="L60:P60" si="68">+L58-L59</f>
        <v>835548.52765003778</v>
      </c>
      <c r="M60" s="45">
        <f t="shared" si="68"/>
        <v>94340.620430050418</v>
      </c>
      <c r="N60" s="45">
        <f t="shared" si="68"/>
        <v>19187.545910023153</v>
      </c>
      <c r="O60" s="45">
        <f t="shared" si="68"/>
        <v>319858.63647998683</v>
      </c>
      <c r="P60" s="46">
        <f t="shared" si="68"/>
        <v>212427.98190999776</v>
      </c>
      <c r="R60" s="28"/>
    </row>
    <row r="61" spans="1:18" x14ac:dyDescent="0.2">
      <c r="A61" s="44" t="s">
        <v>81</v>
      </c>
      <c r="B61" s="67" t="s">
        <v>162</v>
      </c>
      <c r="C61" s="52">
        <f t="shared" ref="C61:D61" si="69">+C60/C59</f>
        <v>8.2756802510392066E-2</v>
      </c>
      <c r="D61" s="52">
        <f t="shared" si="69"/>
        <v>7.1798220722207484E-2</v>
      </c>
      <c r="E61" s="52">
        <f t="shared" ref="E61:K61" si="70">+E60/E59</f>
        <v>3.7014535246296894E-2</v>
      </c>
      <c r="F61" s="52">
        <f t="shared" si="70"/>
        <v>5.7485348378948512E-3</v>
      </c>
      <c r="G61" s="52">
        <f t="shared" si="70"/>
        <v>-5.5942943973232781E-3</v>
      </c>
      <c r="H61" s="52">
        <f t="shared" si="70"/>
        <v>-6.06047421735024E-3</v>
      </c>
      <c r="I61" s="52">
        <f t="shared" si="70"/>
        <v>6.4142851272445539E-2</v>
      </c>
      <c r="J61" s="52">
        <f t="shared" si="70"/>
        <v>7.33666760234888E-2</v>
      </c>
      <c r="K61" s="52">
        <f t="shared" si="70"/>
        <v>6.2237976807487515E-2</v>
      </c>
      <c r="L61" s="52">
        <f t="shared" ref="L61:P61" si="71">+L60/L59</f>
        <v>8.2985751508384872E-2</v>
      </c>
      <c r="M61" s="52">
        <f t="shared" si="71"/>
        <v>9.4967588827873668E-3</v>
      </c>
      <c r="N61" s="52">
        <f t="shared" si="71"/>
        <v>1.9373557456483822E-3</v>
      </c>
      <c r="O61" s="52">
        <f t="shared" si="71"/>
        <v>3.2926801186995092E-2</v>
      </c>
      <c r="P61" s="53">
        <f t="shared" si="71"/>
        <v>2.1552835279773631E-2</v>
      </c>
      <c r="R61" s="28"/>
    </row>
    <row r="62" spans="1:18" x14ac:dyDescent="0.2">
      <c r="A62" s="44"/>
      <c r="B62" s="64"/>
      <c r="C62" s="131"/>
      <c r="D62" s="131"/>
      <c r="E62" s="131"/>
      <c r="F62" s="131"/>
      <c r="G62" s="131"/>
      <c r="H62" s="131"/>
      <c r="I62" s="131"/>
      <c r="J62" s="131"/>
      <c r="K62" s="42"/>
      <c r="L62" s="42"/>
      <c r="M62" s="42"/>
      <c r="N62" s="42"/>
      <c r="O62" s="42"/>
      <c r="P62" s="43"/>
      <c r="R62" s="28"/>
    </row>
    <row r="63" spans="1:18" x14ac:dyDescent="0.2">
      <c r="A63" s="70" t="s">
        <v>152</v>
      </c>
      <c r="B63" s="65" t="s">
        <v>150</v>
      </c>
      <c r="C63" s="48">
        <f>+Grunnlagstall!C19</f>
        <v>19763722.567200005</v>
      </c>
      <c r="D63" s="48">
        <f>+Grunnlagstall!D19</f>
        <v>19374754.813400004</v>
      </c>
      <c r="E63" s="48">
        <f>+Grunnlagstall!E19</f>
        <v>18785430.832879998</v>
      </c>
      <c r="F63" s="48">
        <f>+Grunnlagstall!F19</f>
        <v>18521993.758899998</v>
      </c>
      <c r="G63" s="48">
        <f>+Grunnlagstall!G19</f>
        <v>18764829.274999999</v>
      </c>
      <c r="H63" s="48">
        <f>+Grunnlagstall!H19</f>
        <v>19228385.669</v>
      </c>
      <c r="I63" s="48">
        <f>+Grunnlagstall!I19</f>
        <v>18802793.790859867</v>
      </c>
      <c r="J63" s="48">
        <f>+Grunnlagstall!J19</f>
        <v>18836623.624359865</v>
      </c>
      <c r="K63" s="48">
        <f>+Grunnlagstall!K19</f>
        <v>18858337.343439784</v>
      </c>
      <c r="L63" s="48">
        <f>+Grunnlagstall!L19</f>
        <v>18548959.305619802</v>
      </c>
      <c r="M63" s="48">
        <f>+Grunnlagstall!M19</f>
        <v>17967360.297719706</v>
      </c>
      <c r="N63" s="48">
        <f>+Grunnlagstall!N19</f>
        <v>17730021.602289729</v>
      </c>
      <c r="O63" s="48">
        <f>+Grunnlagstall!O19</f>
        <v>17778799.599719867</v>
      </c>
      <c r="P63" s="49">
        <f>+Grunnlagstall!P19</f>
        <v>17358838.674029812</v>
      </c>
      <c r="R63" s="28"/>
    </row>
    <row r="64" spans="1:18" x14ac:dyDescent="0.2">
      <c r="A64" s="70" t="s">
        <v>153</v>
      </c>
      <c r="B64" s="65" t="s">
        <v>155</v>
      </c>
      <c r="C64" s="48">
        <f>+Grunnlagstall!G19</f>
        <v>18764829.274999999</v>
      </c>
      <c r="D64" s="48">
        <f>+Grunnlagstall!H19</f>
        <v>19228385.669</v>
      </c>
      <c r="E64" s="48">
        <f>+Grunnlagstall!I19</f>
        <v>18802793.790859867</v>
      </c>
      <c r="F64" s="48">
        <f>+Grunnlagstall!J19</f>
        <v>18836623.624359865</v>
      </c>
      <c r="G64" s="48">
        <f>+Grunnlagstall!K19</f>
        <v>18858337.343439784</v>
      </c>
      <c r="H64" s="48">
        <f>+Grunnlagstall!L19</f>
        <v>18548959.305619802</v>
      </c>
      <c r="I64" s="48">
        <f>+Grunnlagstall!M19</f>
        <v>17967360.297719706</v>
      </c>
      <c r="J64" s="48">
        <f>+Grunnlagstall!N19</f>
        <v>17730021.602289729</v>
      </c>
      <c r="K64" s="48">
        <f>+Grunnlagstall!O19</f>
        <v>17778799.599719867</v>
      </c>
      <c r="L64" s="48">
        <f>+Grunnlagstall!P19</f>
        <v>17358838.674029812</v>
      </c>
      <c r="M64" s="48">
        <f>+Grunnlagstall!Q19</f>
        <v>16167063.651719812</v>
      </c>
      <c r="N64" s="48">
        <f>+Grunnlagstall!R19</f>
        <v>15679321.866809871</v>
      </c>
      <c r="O64" s="48">
        <f>+Grunnlagstall!S19</f>
        <v>15478086.649019852</v>
      </c>
      <c r="P64" s="49">
        <f>+Grunnlagstall!T19</f>
        <v>15228749.09817986</v>
      </c>
      <c r="R64" s="28"/>
    </row>
    <row r="65" spans="1:18" x14ac:dyDescent="0.2">
      <c r="A65" s="47" t="s">
        <v>29</v>
      </c>
      <c r="B65" s="65" t="s">
        <v>165</v>
      </c>
      <c r="C65" s="48">
        <f>+Grunnlagstall!C26</f>
        <v>3363331.9530000002</v>
      </c>
      <c r="D65" s="48">
        <f>+Grunnlagstall!D26</f>
        <v>3681978</v>
      </c>
      <c r="E65" s="48">
        <f>+Grunnlagstall!E26</f>
        <v>4020344</v>
      </c>
      <c r="F65" s="48">
        <f>+Grunnlagstall!F26</f>
        <v>4191335</v>
      </c>
      <c r="G65" s="48">
        <f>+Grunnlagstall!G26</f>
        <v>3606378</v>
      </c>
      <c r="H65" s="48">
        <f>+Grunnlagstall!H26</f>
        <v>2913291</v>
      </c>
      <c r="I65" s="48">
        <f>+Grunnlagstall!I26</f>
        <v>2796350</v>
      </c>
      <c r="J65" s="48">
        <f>+Grunnlagstall!J26</f>
        <v>2583525</v>
      </c>
      <c r="K65" s="48">
        <f>+Grunnlagstall!K26</f>
        <v>2314942</v>
      </c>
      <c r="L65" s="48">
        <f>+Grunnlagstall!L26</f>
        <v>2275765</v>
      </c>
      <c r="M65" s="48">
        <f>+Grunnlagstall!M26</f>
        <v>2427530</v>
      </c>
      <c r="N65" s="48">
        <f>+Grunnlagstall!N26</f>
        <v>2399721</v>
      </c>
      <c r="O65" s="48">
        <f>+Grunnlagstall!O26</f>
        <v>2433214.9</v>
      </c>
      <c r="P65" s="49">
        <f>+Grunnlagstall!P26</f>
        <v>2513001</v>
      </c>
      <c r="R65" s="28"/>
    </row>
    <row r="66" spans="1:18" x14ac:dyDescent="0.2">
      <c r="A66" s="47" t="s">
        <v>163</v>
      </c>
      <c r="B66" s="65" t="s">
        <v>166</v>
      </c>
      <c r="C66" s="48">
        <f>+Grunnlagstall!G26</f>
        <v>3606378</v>
      </c>
      <c r="D66" s="48">
        <f>+Grunnlagstall!H26</f>
        <v>2913291</v>
      </c>
      <c r="E66" s="48">
        <f>+Grunnlagstall!I26</f>
        <v>2796350</v>
      </c>
      <c r="F66" s="48">
        <f>+Grunnlagstall!J26</f>
        <v>2583525</v>
      </c>
      <c r="G66" s="48">
        <f>+Grunnlagstall!K26</f>
        <v>2314942</v>
      </c>
      <c r="H66" s="48">
        <f>+Grunnlagstall!L26</f>
        <v>2275765</v>
      </c>
      <c r="I66" s="48">
        <f>+Grunnlagstall!M26</f>
        <v>2427530</v>
      </c>
      <c r="J66" s="48">
        <f>+Grunnlagstall!N26</f>
        <v>2399721</v>
      </c>
      <c r="K66" s="48">
        <f>+Grunnlagstall!O26</f>
        <v>2433214.9</v>
      </c>
      <c r="L66" s="48">
        <f>+Grunnlagstall!P26</f>
        <v>2513001</v>
      </c>
      <c r="M66" s="48">
        <f>+Grunnlagstall!Q26</f>
        <v>2681504</v>
      </c>
      <c r="N66" s="48">
        <f>+Grunnlagstall!R26</f>
        <v>2853917</v>
      </c>
      <c r="O66" s="48">
        <f>+Grunnlagstall!S26</f>
        <v>3009916.1230000001</v>
      </c>
      <c r="P66" s="49">
        <f>+Grunnlagstall!T26</f>
        <v>3002556.77</v>
      </c>
      <c r="R66" s="28"/>
    </row>
    <row r="67" spans="1:18" x14ac:dyDescent="0.2">
      <c r="A67" s="70" t="s">
        <v>164</v>
      </c>
      <c r="B67" s="66" t="s">
        <v>167</v>
      </c>
      <c r="C67" s="48">
        <f t="shared" ref="C67:D67" si="72">+C63-C64+C65-C66</f>
        <v>755847.24520000629</v>
      </c>
      <c r="D67" s="48">
        <f t="shared" si="72"/>
        <v>915056.1444000043</v>
      </c>
      <c r="E67" s="48">
        <f t="shared" ref="E67:K67" si="73">+E63-E64+E65-E66</f>
        <v>1206631.0420201309</v>
      </c>
      <c r="F67" s="48">
        <f t="shared" si="73"/>
        <v>1293180.1345401332</v>
      </c>
      <c r="G67" s="48">
        <f t="shared" si="73"/>
        <v>1197927.9315602146</v>
      </c>
      <c r="H67" s="48">
        <f t="shared" si="73"/>
        <v>1316952.3633801974</v>
      </c>
      <c r="I67" s="48">
        <f t="shared" si="73"/>
        <v>1204253.493140161</v>
      </c>
      <c r="J67" s="48">
        <f t="shared" si="73"/>
        <v>1290406.0220701359</v>
      </c>
      <c r="K67" s="48">
        <f t="shared" si="73"/>
        <v>961264.84371991688</v>
      </c>
      <c r="L67" s="48">
        <f t="shared" ref="L67:P67" si="74">+L63-L64+L65-L66</f>
        <v>952884.63158999011</v>
      </c>
      <c r="M67" s="48">
        <f t="shared" si="74"/>
        <v>1546322.6459998935</v>
      </c>
      <c r="N67" s="48">
        <f t="shared" si="74"/>
        <v>1596503.7354798578</v>
      </c>
      <c r="O67" s="48">
        <f t="shared" si="74"/>
        <v>1724011.7277000151</v>
      </c>
      <c r="P67" s="49">
        <f t="shared" si="74"/>
        <v>1640533.8058499522</v>
      </c>
      <c r="R67" s="28"/>
    </row>
    <row r="68" spans="1:18" x14ac:dyDescent="0.2">
      <c r="A68" s="70" t="s">
        <v>30</v>
      </c>
      <c r="B68" s="66" t="s">
        <v>168</v>
      </c>
      <c r="C68" s="50">
        <f t="shared" ref="C68:D68" si="75">+C67/(C64+C66)</f>
        <v>3.3786609542734491E-2</v>
      </c>
      <c r="D68" s="50">
        <f t="shared" si="75"/>
        <v>4.1327319429298286E-2</v>
      </c>
      <c r="E68" s="50">
        <f t="shared" ref="E68:K68" si="76">+E67/(E64+E66)</f>
        <v>5.5864762682432914E-2</v>
      </c>
      <c r="F68" s="50">
        <f t="shared" si="76"/>
        <v>6.0372136403828498E-2</v>
      </c>
      <c r="G68" s="50">
        <f t="shared" si="76"/>
        <v>5.657734506447034E-2</v>
      </c>
      <c r="H68" s="50">
        <f t="shared" si="76"/>
        <v>6.3239846254521698E-2</v>
      </c>
      <c r="I68" s="50">
        <f t="shared" si="76"/>
        <v>5.9046823766186432E-2</v>
      </c>
      <c r="J68" s="50">
        <f t="shared" si="76"/>
        <v>6.4104447213515492E-2</v>
      </c>
      <c r="K68" s="50">
        <f t="shared" si="76"/>
        <v>4.7559081443031809E-2</v>
      </c>
      <c r="L68" s="50">
        <f t="shared" ref="L68:P68" si="77">+L67/(L64+L66)</f>
        <v>4.7951505608979914E-2</v>
      </c>
      <c r="M68" s="50">
        <f t="shared" si="77"/>
        <v>8.203926550667108E-2</v>
      </c>
      <c r="N68" s="50">
        <f t="shared" si="77"/>
        <v>8.6142726964953009E-2</v>
      </c>
      <c r="O68" s="50">
        <f t="shared" si="77"/>
        <v>9.3250295824769791E-2</v>
      </c>
      <c r="P68" s="51">
        <f t="shared" si="77"/>
        <v>8.9984437632263603E-2</v>
      </c>
      <c r="R68" s="28"/>
    </row>
    <row r="69" spans="1:18" x14ac:dyDescent="0.2">
      <c r="A69" s="44"/>
      <c r="B69" s="64"/>
      <c r="C69" s="131"/>
      <c r="D69" s="131"/>
      <c r="E69" s="131"/>
      <c r="F69" s="131"/>
      <c r="G69" s="131"/>
      <c r="H69" s="131"/>
      <c r="I69" s="131"/>
      <c r="J69" s="131"/>
      <c r="K69" s="42"/>
      <c r="L69" s="42"/>
      <c r="M69" s="42"/>
      <c r="N69" s="42"/>
      <c r="O69" s="42"/>
      <c r="P69" s="43"/>
      <c r="R69" s="28"/>
    </row>
    <row r="70" spans="1:18" x14ac:dyDescent="0.2">
      <c r="A70" s="44" t="str">
        <f>+Grunnlagstall!A7</f>
        <v>Tap på utlån, garantier m.v.</v>
      </c>
      <c r="B70" s="64" t="s">
        <v>169</v>
      </c>
      <c r="C70" s="45">
        <f>+Grunnlagstall!C7</f>
        <v>17120.244369999993</v>
      </c>
      <c r="D70" s="45">
        <f>+Grunnlagstall!D7</f>
        <v>6879.7483200000006</v>
      </c>
      <c r="E70" s="45">
        <f>+Grunnlagstall!E7</f>
        <v>8576.1349300000038</v>
      </c>
      <c r="F70" s="45">
        <f>+Grunnlagstall!F7</f>
        <v>7565.0050199999969</v>
      </c>
      <c r="G70" s="45">
        <f>+Grunnlagstall!G7</f>
        <v>12689.493999999999</v>
      </c>
      <c r="H70" s="45">
        <f>+Grunnlagstall!H7</f>
        <v>9201.593440000026</v>
      </c>
      <c r="I70" s="45">
        <f>+Grunnlagstall!I7</f>
        <v>6582.912559999977</v>
      </c>
      <c r="J70" s="45">
        <f>+Grunnlagstall!J7</f>
        <v>7192.5865100000083</v>
      </c>
      <c r="K70" s="45">
        <f>+Grunnlagstall!K7</f>
        <v>3773.4349199999924</v>
      </c>
      <c r="L70" s="45">
        <f>+Grunnlagstall!L7</f>
        <v>1906.0518000000197</v>
      </c>
      <c r="M70" s="45">
        <f>+Grunnlagstall!M7</f>
        <v>5164.93090999998</v>
      </c>
      <c r="N70" s="45">
        <f>+Grunnlagstall!N7</f>
        <v>5342.531860000181</v>
      </c>
      <c r="O70" s="45">
        <f>+Grunnlagstall!O7</f>
        <v>-1139.7558300000921</v>
      </c>
      <c r="P70" s="46">
        <f>+Grunnlagstall!P7</f>
        <v>-1619.1731199999551</v>
      </c>
      <c r="R70" s="28"/>
    </row>
    <row r="71" spans="1:18" x14ac:dyDescent="0.2">
      <c r="A71" s="41" t="str">
        <f>+Grunnlagstall!A19</f>
        <v>Netto utlån til og fordringer på kunder</v>
      </c>
      <c r="B71" s="64" t="s">
        <v>150</v>
      </c>
      <c r="C71" s="45">
        <f>+Grunnlagstall!C19</f>
        <v>19763722.567200005</v>
      </c>
      <c r="D71" s="45">
        <f>+Grunnlagstall!D19</f>
        <v>19374754.813400004</v>
      </c>
      <c r="E71" s="45">
        <f>+Grunnlagstall!E19</f>
        <v>18785430.832879998</v>
      </c>
      <c r="F71" s="45">
        <f>+Grunnlagstall!F19</f>
        <v>18521993.758899998</v>
      </c>
      <c r="G71" s="45">
        <f>+Grunnlagstall!G19</f>
        <v>18764829.274999999</v>
      </c>
      <c r="H71" s="45">
        <f>+Grunnlagstall!H19</f>
        <v>19228385.669</v>
      </c>
      <c r="I71" s="45">
        <f>+Grunnlagstall!I19</f>
        <v>18802793.790859867</v>
      </c>
      <c r="J71" s="45">
        <f>+Grunnlagstall!J19</f>
        <v>18836623.624359865</v>
      </c>
      <c r="K71" s="45">
        <f>+Grunnlagstall!K19</f>
        <v>18858337.343439784</v>
      </c>
      <c r="L71" s="45">
        <f>+Grunnlagstall!L19</f>
        <v>18548959.305619802</v>
      </c>
      <c r="M71" s="45">
        <f>+Grunnlagstall!M19</f>
        <v>17967360.297719706</v>
      </c>
      <c r="N71" s="45">
        <f>+Grunnlagstall!N19</f>
        <v>17730021.602289729</v>
      </c>
      <c r="O71" s="45">
        <f>+Grunnlagstall!O19</f>
        <v>17778799.599719867</v>
      </c>
      <c r="P71" s="46">
        <f>+Grunnlagstall!P19</f>
        <v>17358838.674029812</v>
      </c>
      <c r="R71" s="28"/>
    </row>
    <row r="72" spans="1:18" x14ac:dyDescent="0.2">
      <c r="A72" s="41" t="s">
        <v>48</v>
      </c>
      <c r="B72" s="67" t="s">
        <v>170</v>
      </c>
      <c r="C72" s="54">
        <f t="shared" ref="C72:D72" si="78">+C70*100/C71</f>
        <v>8.6624593680609818E-2</v>
      </c>
      <c r="D72" s="54">
        <f t="shared" si="78"/>
        <v>3.5508827782645365E-2</v>
      </c>
      <c r="E72" s="54">
        <f t="shared" ref="E72:K72" si="79">+E70*100/E71</f>
        <v>4.565311813338483E-2</v>
      </c>
      <c r="F72" s="54">
        <f t="shared" si="79"/>
        <v>4.0843362320889122E-2</v>
      </c>
      <c r="G72" s="54">
        <f t="shared" si="79"/>
        <v>6.7623818016324583E-2</v>
      </c>
      <c r="H72" s="54">
        <f t="shared" si="79"/>
        <v>4.785421718909473E-2</v>
      </c>
      <c r="I72" s="54">
        <f t="shared" si="79"/>
        <v>3.5010289604941389E-2</v>
      </c>
      <c r="J72" s="54">
        <f t="shared" si="79"/>
        <v>3.8184053859304297E-2</v>
      </c>
      <c r="K72" s="54">
        <f t="shared" si="79"/>
        <v>2.0009372254191065E-2</v>
      </c>
      <c r="L72" s="54">
        <f t="shared" ref="L72:P72" si="80">+L70*100/L71</f>
        <v>1.02757883533797E-2</v>
      </c>
      <c r="M72" s="54">
        <f t="shared" si="80"/>
        <v>2.874618655393401E-2</v>
      </c>
      <c r="N72" s="54">
        <f t="shared" si="80"/>
        <v>3.0132686692892832E-2</v>
      </c>
      <c r="O72" s="54">
        <f t="shared" si="80"/>
        <v>-6.4107580695045956E-3</v>
      </c>
      <c r="P72" s="55">
        <f t="shared" si="80"/>
        <v>-9.327658090528634E-3</v>
      </c>
      <c r="R72" s="28"/>
    </row>
    <row r="73" spans="1:18" x14ac:dyDescent="0.2">
      <c r="A73" s="41"/>
      <c r="B73" s="64"/>
      <c r="C73" s="131"/>
      <c r="D73" s="131"/>
      <c r="E73" s="131"/>
      <c r="F73" s="131"/>
      <c r="G73" s="131"/>
      <c r="H73" s="131"/>
      <c r="I73" s="131"/>
      <c r="J73" s="131"/>
      <c r="K73" s="42"/>
      <c r="L73" s="42"/>
      <c r="M73" s="42"/>
      <c r="N73" s="42"/>
      <c r="O73" s="42"/>
      <c r="P73" s="43"/>
      <c r="R73" s="28"/>
    </row>
    <row r="74" spans="1:18" x14ac:dyDescent="0.2">
      <c r="A74" s="47" t="str">
        <f>+Grunnlagstall!A23</f>
        <v>Egenkapital</v>
      </c>
      <c r="B74" s="65" t="s">
        <v>171</v>
      </c>
      <c r="C74" s="48">
        <f>+Grunnlagstall!C23</f>
        <v>2761184.3211400001</v>
      </c>
      <c r="D74" s="48">
        <f>+Grunnlagstall!D23</f>
        <v>2693164.6136400001</v>
      </c>
      <c r="E74" s="48">
        <f>+Grunnlagstall!E23</f>
        <v>2631540.4340000004</v>
      </c>
      <c r="F74" s="48">
        <f>+Grunnlagstall!F23</f>
        <v>2756817.8226700006</v>
      </c>
      <c r="G74" s="48">
        <f>+Grunnlagstall!G23</f>
        <v>2630001.9828600003</v>
      </c>
      <c r="H74" s="48">
        <f>+Grunnlagstall!H23</f>
        <v>2559466.5638600001</v>
      </c>
      <c r="I74" s="48">
        <f>+Grunnlagstall!I23</f>
        <v>2456800.7400400015</v>
      </c>
      <c r="J74" s="48">
        <f>+Grunnlagstall!J23</f>
        <v>2490219.4010399999</v>
      </c>
      <c r="K74" s="48">
        <f>+Grunnlagstall!K23</f>
        <v>2359403.77032999</v>
      </c>
      <c r="L74" s="48">
        <f>+Grunnlagstall!L23</f>
        <v>2301655.3292599982</v>
      </c>
      <c r="M74" s="48">
        <f>+Grunnlagstall!M23</f>
        <v>2254318.5344100003</v>
      </c>
      <c r="N74" s="48">
        <f>+Grunnlagstall!N23</f>
        <v>2184038.0129200094</v>
      </c>
      <c r="O74" s="48">
        <f>+Grunnlagstall!O23</f>
        <v>2144254.0391100007</v>
      </c>
      <c r="P74" s="49">
        <f>+Grunnlagstall!P23</f>
        <v>2058826.1869700002</v>
      </c>
      <c r="R74" s="28"/>
    </row>
    <row r="75" spans="1:18" x14ac:dyDescent="0.2">
      <c r="A75" s="70" t="s">
        <v>139</v>
      </c>
      <c r="B75" s="65" t="s">
        <v>142</v>
      </c>
      <c r="C75" s="48">
        <f>+Grunnlagstall!C30</f>
        <v>100000</v>
      </c>
      <c r="D75" s="48">
        <f>+Grunnlagstall!D30</f>
        <v>100000</v>
      </c>
      <c r="E75" s="48">
        <f>+Grunnlagstall!E30</f>
        <v>125000</v>
      </c>
      <c r="F75" s="48">
        <f>+Grunnlagstall!F30</f>
        <v>125000</v>
      </c>
      <c r="G75" s="48">
        <f>+Grunnlagstall!G30</f>
        <v>125000</v>
      </c>
      <c r="H75" s="48">
        <f>+Grunnlagstall!H30</f>
        <v>125000</v>
      </c>
      <c r="I75" s="48">
        <f>+Grunnlagstall!I30</f>
        <v>125000</v>
      </c>
      <c r="J75" s="48">
        <f>+Grunnlagstall!J30</f>
        <v>125000</v>
      </c>
      <c r="K75" s="48">
        <f>+Grunnlagstall!K30</f>
        <v>125000</v>
      </c>
      <c r="L75" s="48">
        <f>+Grunnlagstall!L30</f>
        <v>125000</v>
      </c>
      <c r="M75" s="48">
        <f>+Grunnlagstall!M30</f>
        <v>125000</v>
      </c>
      <c r="N75" s="48">
        <f>+Grunnlagstall!N30</f>
        <v>125000</v>
      </c>
      <c r="O75" s="48">
        <f>+Grunnlagstall!O30</f>
        <v>143000</v>
      </c>
      <c r="P75" s="49">
        <f>+Grunnlagstall!P30</f>
        <v>143000</v>
      </c>
      <c r="R75" s="28"/>
    </row>
    <row r="76" spans="1:18" x14ac:dyDescent="0.2">
      <c r="A76" s="47" t="s">
        <v>63</v>
      </c>
      <c r="B76" s="65" t="s">
        <v>172</v>
      </c>
      <c r="C76" s="73">
        <f>+Grunnlagstall!C34</f>
        <v>48.48</v>
      </c>
      <c r="D76" s="73">
        <f>+Grunnlagstall!D34</f>
        <v>48.48</v>
      </c>
      <c r="E76" s="73">
        <f>+Grunnlagstall!E34</f>
        <v>48.48</v>
      </c>
      <c r="F76" s="73">
        <f>+Grunnlagstall!F34</f>
        <v>48.48</v>
      </c>
      <c r="G76" s="73">
        <f>+Grunnlagstall!G34</f>
        <v>48.48</v>
      </c>
      <c r="H76" s="73">
        <f>+Grunnlagstall!H34</f>
        <v>48.48</v>
      </c>
      <c r="I76" s="73">
        <f>+Grunnlagstall!I34</f>
        <v>48.48</v>
      </c>
      <c r="J76" s="73">
        <f>+Grunnlagstall!J34</f>
        <v>49.97</v>
      </c>
      <c r="K76" s="73">
        <f>+Grunnlagstall!K34</f>
        <v>49.97</v>
      </c>
      <c r="L76" s="73">
        <f>+Grunnlagstall!L34</f>
        <v>49.97</v>
      </c>
      <c r="M76" s="73">
        <f>+Grunnlagstall!M34</f>
        <v>49.97</v>
      </c>
      <c r="N76" s="73">
        <f>+Grunnlagstall!N34</f>
        <v>51.39</v>
      </c>
      <c r="O76" s="73">
        <f>+Grunnlagstall!O34</f>
        <v>51.39</v>
      </c>
      <c r="P76" s="74">
        <f>+Grunnlagstall!P34</f>
        <v>51.39</v>
      </c>
      <c r="R76" s="28"/>
    </row>
    <row r="77" spans="1:18" x14ac:dyDescent="0.2">
      <c r="A77" s="70" t="s">
        <v>173</v>
      </c>
      <c r="B77" s="65" t="s">
        <v>174</v>
      </c>
      <c r="C77" s="38">
        <f>+Grunnlagstall!C33</f>
        <v>6124.5339999999997</v>
      </c>
      <c r="D77" s="38">
        <f>+Grunnlagstall!D33</f>
        <v>6124.5339999999997</v>
      </c>
      <c r="E77" s="38">
        <f>+Grunnlagstall!E33</f>
        <v>6124.5339999999997</v>
      </c>
      <c r="F77" s="38">
        <f>+Grunnlagstall!F33</f>
        <v>6124.5339999999997</v>
      </c>
      <c r="G77" s="38">
        <f>+Grunnlagstall!G33</f>
        <v>6124.5339999999997</v>
      </c>
      <c r="H77" s="38">
        <f>+Grunnlagstall!H33</f>
        <v>6124.5339999999997</v>
      </c>
      <c r="I77" s="38">
        <f>+Grunnlagstall!I33</f>
        <v>6124.5339999999997</v>
      </c>
      <c r="J77" s="38">
        <f>+Grunnlagstall!J33</f>
        <v>6124.5339999999997</v>
      </c>
      <c r="K77" s="38">
        <f>+Grunnlagstall!K33</f>
        <v>6124.5339999999997</v>
      </c>
      <c r="L77" s="38">
        <f>+Grunnlagstall!L33</f>
        <v>6124.5339999999997</v>
      </c>
      <c r="M77" s="38">
        <f>+Grunnlagstall!M33</f>
        <v>6124.5339999999997</v>
      </c>
      <c r="N77" s="38">
        <f>+Grunnlagstall!N33</f>
        <v>6124.5339999999997</v>
      </c>
      <c r="O77" s="38">
        <f>+Grunnlagstall!O33</f>
        <v>6124.5339999999997</v>
      </c>
      <c r="P77" s="39">
        <f>+Grunnlagstall!P33</f>
        <v>6124.5339999999997</v>
      </c>
      <c r="R77" s="28"/>
    </row>
    <row r="78" spans="1:18" x14ac:dyDescent="0.2">
      <c r="A78" s="70" t="s">
        <v>32</v>
      </c>
      <c r="B78" s="66" t="s">
        <v>175</v>
      </c>
      <c r="C78" s="75">
        <f t="shared" ref="C78:D78" si="81">+((C74-C75)*C76/100)/C77</f>
        <v>210.65148122104833</v>
      </c>
      <c r="D78" s="75">
        <f t="shared" si="81"/>
        <v>205.26724232287259</v>
      </c>
      <c r="E78" s="75">
        <f t="shared" ref="E78:K78" si="82">+((E74-E75)*E76/100)/E77</f>
        <v>198.41032842714242</v>
      </c>
      <c r="F78" s="75">
        <f t="shared" si="82"/>
        <v>208.32691604461925</v>
      </c>
      <c r="G78" s="75">
        <f t="shared" si="82"/>
        <v>198.28854918439967</v>
      </c>
      <c r="H78" s="75">
        <f t="shared" si="82"/>
        <v>192.70517400333284</v>
      </c>
      <c r="I78" s="75">
        <f t="shared" si="82"/>
        <v>184.57845099258046</v>
      </c>
      <c r="J78" s="75">
        <f t="shared" si="82"/>
        <v>192.97796937688454</v>
      </c>
      <c r="K78" s="75">
        <f t="shared" si="82"/>
        <v>182.30473763945076</v>
      </c>
      <c r="L78" s="75">
        <f t="shared" ref="L78:P78" si="83">+((L74-L75)*L76/100)/L77</f>
        <v>177.59304920688189</v>
      </c>
      <c r="M78" s="75">
        <f t="shared" si="83"/>
        <v>173.7308457500076</v>
      </c>
      <c r="N78" s="75">
        <f t="shared" si="83"/>
        <v>172.77063607444958</v>
      </c>
      <c r="O78" s="75">
        <f t="shared" si="83"/>
        <v>167.92207385878328</v>
      </c>
      <c r="P78" s="76">
        <f t="shared" si="83"/>
        <v>160.75395735967555</v>
      </c>
      <c r="R78" s="28"/>
    </row>
    <row r="79" spans="1:18" x14ac:dyDescent="0.2">
      <c r="A79" s="44"/>
      <c r="B79" s="64"/>
      <c r="C79" s="131"/>
      <c r="D79" s="131"/>
      <c r="E79" s="131"/>
      <c r="F79" s="131"/>
      <c r="G79" s="131"/>
      <c r="H79" s="131"/>
      <c r="I79" s="131"/>
      <c r="J79" s="131"/>
      <c r="K79" s="42"/>
      <c r="L79" s="42"/>
      <c r="M79" s="42"/>
      <c r="N79" s="42"/>
      <c r="O79" s="42"/>
      <c r="P79" s="43"/>
      <c r="R79" s="28"/>
    </row>
    <row r="80" spans="1:18" x14ac:dyDescent="0.2">
      <c r="A80" s="41" t="str">
        <f>+Grunnlagstall!A10</f>
        <v>Resultat av ordinær drift etter skatt</v>
      </c>
      <c r="B80" s="64" t="s">
        <v>135</v>
      </c>
      <c r="C80" s="45">
        <f>+Grunnlagstall!C10</f>
        <v>68018.69094</v>
      </c>
      <c r="D80" s="45">
        <f>+Grunnlagstall!D10</f>
        <v>90455.469759999978</v>
      </c>
      <c r="E80" s="45">
        <f>+Grunnlagstall!E10</f>
        <v>71126.520560000092</v>
      </c>
      <c r="F80" s="45">
        <f>+Grunnlagstall!F10</f>
        <v>60176.948840000216</v>
      </c>
      <c r="G80" s="45">
        <f>+Grunnlagstall!G10</f>
        <v>70535.418999999965</v>
      </c>
      <c r="H80" s="45">
        <f>+Grunnlagstall!H10</f>
        <v>102665.82381999964</v>
      </c>
      <c r="I80" s="45">
        <f>+Grunnlagstall!I10</f>
        <v>58978.757180000401</v>
      </c>
      <c r="J80" s="45">
        <f>+Grunnlagstall!J10</f>
        <v>61144.122009995088</v>
      </c>
      <c r="K80" s="45">
        <f>+Grunnlagstall!K10</f>
        <v>57776.199069998082</v>
      </c>
      <c r="L80" s="45">
        <f>+Grunnlagstall!L10</f>
        <v>83436.168990000238</v>
      </c>
      <c r="M80" s="45">
        <f>+Grunnlagstall!M10</f>
        <v>42262.246000000057</v>
      </c>
      <c r="N80" s="45">
        <f>+Grunnlagstall!N10</f>
        <v>54679.009679999588</v>
      </c>
      <c r="O80" s="45">
        <f>+Grunnlagstall!O10</f>
        <v>54276.084140001709</v>
      </c>
      <c r="P80" s="46">
        <f>+Grunnlagstall!P10</f>
        <v>54907.300619999311</v>
      </c>
      <c r="R80" s="28"/>
    </row>
    <row r="81" spans="1:18" x14ac:dyDescent="0.2">
      <c r="A81" s="41" t="str">
        <f t="shared" ref="A81:P81" si="84">+A34</f>
        <v>Renter på fondsobligasjoner</v>
      </c>
      <c r="B81" s="63" t="str">
        <f t="shared" si="84"/>
        <v>A10</v>
      </c>
      <c r="C81" s="45">
        <f t="shared" ref="C81" si="85">+C34</f>
        <v>1948</v>
      </c>
      <c r="D81" s="45">
        <f t="shared" si="84"/>
        <v>2785</v>
      </c>
      <c r="E81" s="45">
        <f t="shared" ref="E81:F81" si="86">+E34</f>
        <v>2596</v>
      </c>
      <c r="F81" s="45">
        <f t="shared" si="86"/>
        <v>2693</v>
      </c>
      <c r="G81" s="45">
        <f t="shared" si="84"/>
        <v>2427</v>
      </c>
      <c r="H81" s="45">
        <f t="shared" ref="H81:I81" si="87">+H34</f>
        <v>2352</v>
      </c>
      <c r="I81" s="45">
        <f t="shared" si="87"/>
        <v>2174</v>
      </c>
      <c r="J81" s="45">
        <f t="shared" si="84"/>
        <v>2167</v>
      </c>
      <c r="K81" s="45">
        <f t="shared" si="84"/>
        <v>1914</v>
      </c>
      <c r="L81" s="45">
        <f t="shared" si="84"/>
        <v>1321</v>
      </c>
      <c r="M81" s="45">
        <f t="shared" si="84"/>
        <v>1437</v>
      </c>
      <c r="N81" s="45">
        <f t="shared" si="84"/>
        <v>1460</v>
      </c>
      <c r="O81" s="45">
        <f t="shared" si="84"/>
        <v>1343</v>
      </c>
      <c r="P81" s="46">
        <f t="shared" si="84"/>
        <v>1409</v>
      </c>
      <c r="R81" s="28"/>
    </row>
    <row r="82" spans="1:18" x14ac:dyDescent="0.2">
      <c r="A82" s="41" t="str">
        <f>+A35</f>
        <v>Resultat av ordinær drift etter skatt fratrukket renter på fondsobligasjoner</v>
      </c>
      <c r="B82" s="67" t="s">
        <v>140</v>
      </c>
      <c r="C82" s="45">
        <f t="shared" ref="C82:D82" si="88">+C80-C81</f>
        <v>66070.69094</v>
      </c>
      <c r="D82" s="45">
        <f t="shared" si="88"/>
        <v>87670.469759999978</v>
      </c>
      <c r="E82" s="45">
        <f t="shared" ref="E82:K82" si="89">+E80-E81</f>
        <v>68530.520560000092</v>
      </c>
      <c r="F82" s="45">
        <f t="shared" si="89"/>
        <v>57483.948840000216</v>
      </c>
      <c r="G82" s="45">
        <f t="shared" si="89"/>
        <v>68108.418999999965</v>
      </c>
      <c r="H82" s="45">
        <f t="shared" si="89"/>
        <v>100313.82381999964</v>
      </c>
      <c r="I82" s="45">
        <f t="shared" si="89"/>
        <v>56804.757180000401</v>
      </c>
      <c r="J82" s="45">
        <f t="shared" si="89"/>
        <v>58977.122009995088</v>
      </c>
      <c r="K82" s="45">
        <f t="shared" si="89"/>
        <v>55862.199069998082</v>
      </c>
      <c r="L82" s="45">
        <f t="shared" ref="L82:P82" si="90">+L80-L81</f>
        <v>82115.168990000238</v>
      </c>
      <c r="M82" s="45">
        <f t="shared" si="90"/>
        <v>40825.246000000057</v>
      </c>
      <c r="N82" s="45">
        <f t="shared" si="90"/>
        <v>53219.009679999588</v>
      </c>
      <c r="O82" s="45">
        <f t="shared" si="90"/>
        <v>52933.084140001709</v>
      </c>
      <c r="P82" s="46">
        <f t="shared" si="90"/>
        <v>53498.300619999311</v>
      </c>
      <c r="R82" s="28"/>
    </row>
    <row r="83" spans="1:18" x14ac:dyDescent="0.2">
      <c r="A83" s="44" t="s">
        <v>63</v>
      </c>
      <c r="B83" s="64" t="s">
        <v>172</v>
      </c>
      <c r="C83" s="56">
        <f t="shared" ref="C83:D83" si="91">+C76</f>
        <v>48.48</v>
      </c>
      <c r="D83" s="56">
        <f t="shared" si="91"/>
        <v>48.48</v>
      </c>
      <c r="E83" s="56">
        <f t="shared" ref="E83:F83" si="92">+E76</f>
        <v>48.48</v>
      </c>
      <c r="F83" s="56">
        <f t="shared" si="92"/>
        <v>48.48</v>
      </c>
      <c r="G83" s="56">
        <f t="shared" ref="G83:H83" si="93">+G76</f>
        <v>48.48</v>
      </c>
      <c r="H83" s="56">
        <f t="shared" si="93"/>
        <v>48.48</v>
      </c>
      <c r="I83" s="56">
        <f t="shared" ref="I83:K84" si="94">+I76</f>
        <v>48.48</v>
      </c>
      <c r="J83" s="56">
        <f t="shared" si="94"/>
        <v>49.97</v>
      </c>
      <c r="K83" s="56">
        <f t="shared" si="94"/>
        <v>49.97</v>
      </c>
      <c r="L83" s="56">
        <f t="shared" ref="L83:P83" si="95">+L76</f>
        <v>49.97</v>
      </c>
      <c r="M83" s="56">
        <f t="shared" si="95"/>
        <v>49.97</v>
      </c>
      <c r="N83" s="56">
        <f t="shared" si="95"/>
        <v>51.39</v>
      </c>
      <c r="O83" s="56">
        <f t="shared" si="95"/>
        <v>51.39</v>
      </c>
      <c r="P83" s="57">
        <f t="shared" si="95"/>
        <v>51.39</v>
      </c>
      <c r="R83" s="28"/>
    </row>
    <row r="84" spans="1:18" x14ac:dyDescent="0.2">
      <c r="A84" s="41" t="s">
        <v>173</v>
      </c>
      <c r="B84" s="64" t="s">
        <v>174</v>
      </c>
      <c r="C84" s="42">
        <f t="shared" ref="C84:D84" si="96">+C77</f>
        <v>6124.5339999999997</v>
      </c>
      <c r="D84" s="42">
        <f t="shared" si="96"/>
        <v>6124.5339999999997</v>
      </c>
      <c r="E84" s="42">
        <f t="shared" ref="E84:F84" si="97">+E77</f>
        <v>6124.5339999999997</v>
      </c>
      <c r="F84" s="42">
        <f t="shared" si="97"/>
        <v>6124.5339999999997</v>
      </c>
      <c r="G84" s="42">
        <f t="shared" ref="G84:H84" si="98">+G77</f>
        <v>6124.5339999999997</v>
      </c>
      <c r="H84" s="42">
        <f t="shared" si="98"/>
        <v>6124.5339999999997</v>
      </c>
      <c r="I84" s="42">
        <f t="shared" si="94"/>
        <v>6124.5339999999997</v>
      </c>
      <c r="J84" s="42">
        <f t="shared" si="94"/>
        <v>6124.5339999999997</v>
      </c>
      <c r="K84" s="42">
        <f t="shared" si="94"/>
        <v>6124.5339999999997</v>
      </c>
      <c r="L84" s="42">
        <f t="shared" ref="L84:P84" si="99">+L77</f>
        <v>6124.5339999999997</v>
      </c>
      <c r="M84" s="42">
        <f t="shared" si="99"/>
        <v>6124.5339999999997</v>
      </c>
      <c r="N84" s="42">
        <f t="shared" si="99"/>
        <v>6124.5339999999997</v>
      </c>
      <c r="O84" s="42">
        <f t="shared" si="99"/>
        <v>6124.5339999999997</v>
      </c>
      <c r="P84" s="43">
        <f t="shared" si="99"/>
        <v>6124.5339999999997</v>
      </c>
      <c r="R84" s="28"/>
    </row>
    <row r="85" spans="1:18" x14ac:dyDescent="0.2">
      <c r="A85" s="41" t="s">
        <v>33</v>
      </c>
      <c r="B85" s="67" t="s">
        <v>176</v>
      </c>
      <c r="C85" s="58">
        <f t="shared" ref="C85:D85" si="100">+(C82*C83/100)/C84</f>
        <v>5.2299605109077687</v>
      </c>
      <c r="D85" s="58">
        <f t="shared" si="100"/>
        <v>6.9397351275457027</v>
      </c>
      <c r="E85" s="58">
        <f t="shared" ref="E85:K85" si="101">+(E82*E83/100)/E84</f>
        <v>5.4246733494316537</v>
      </c>
      <c r="F85" s="58">
        <f t="shared" si="101"/>
        <v>4.5502593989407361</v>
      </c>
      <c r="G85" s="58">
        <f t="shared" si="101"/>
        <v>5.391261038178575</v>
      </c>
      <c r="H85" s="58">
        <f t="shared" si="101"/>
        <v>7.9405456460745949</v>
      </c>
      <c r="I85" s="58">
        <f t="shared" si="101"/>
        <v>4.4964965956371854</v>
      </c>
      <c r="J85" s="58">
        <f t="shared" si="101"/>
        <v>4.8119363642024924</v>
      </c>
      <c r="K85" s="58">
        <f t="shared" si="101"/>
        <v>4.5577901723262606</v>
      </c>
      <c r="L85" s="58">
        <f t="shared" ref="L85:P85" si="102">+(L82*L83/100)/L84</f>
        <v>6.6997668629651042</v>
      </c>
      <c r="M85" s="58">
        <f t="shared" si="102"/>
        <v>3.3309269613328998</v>
      </c>
      <c r="N85" s="58">
        <f t="shared" si="102"/>
        <v>4.4655232666765814</v>
      </c>
      <c r="O85" s="58">
        <f t="shared" si="102"/>
        <v>4.4415317050320704</v>
      </c>
      <c r="P85" s="59">
        <f t="shared" si="102"/>
        <v>4.4889581294866918</v>
      </c>
      <c r="R85" s="28"/>
    </row>
    <row r="86" spans="1:18" x14ac:dyDescent="0.2">
      <c r="A86" s="41"/>
      <c r="B86" s="63"/>
      <c r="C86" s="42"/>
      <c r="D86" s="42"/>
      <c r="E86" s="42"/>
      <c r="F86" s="42"/>
      <c r="G86" s="42"/>
      <c r="H86" s="42"/>
      <c r="I86" s="42"/>
      <c r="J86" s="42"/>
      <c r="K86" s="42"/>
      <c r="L86" s="42"/>
      <c r="M86" s="42"/>
      <c r="N86" s="42"/>
      <c r="O86" s="42"/>
      <c r="P86" s="43"/>
      <c r="R86" s="28"/>
    </row>
    <row r="87" spans="1:18" x14ac:dyDescent="0.2">
      <c r="A87" s="47" t="s">
        <v>178</v>
      </c>
      <c r="B87" s="77" t="s">
        <v>179</v>
      </c>
      <c r="C87" s="115">
        <f>+Grunnlagstall!C35</f>
        <v>256</v>
      </c>
      <c r="D87" s="115">
        <f>+Grunnlagstall!D35</f>
        <v>238</v>
      </c>
      <c r="E87" s="115">
        <f>+Grunnlagstall!E35</f>
        <v>224</v>
      </c>
      <c r="F87" s="115">
        <f>+Grunnlagstall!F35</f>
        <v>206</v>
      </c>
      <c r="G87" s="115">
        <f>+Grunnlagstall!G35</f>
        <v>198</v>
      </c>
      <c r="H87" s="115">
        <f>+Grunnlagstall!H35</f>
        <v>204</v>
      </c>
      <c r="I87" s="115">
        <f>+Grunnlagstall!I35</f>
        <v>208</v>
      </c>
      <c r="J87" s="115">
        <f>+Grunnlagstall!J35</f>
        <v>220</v>
      </c>
      <c r="K87" s="115">
        <f>+Grunnlagstall!K35</f>
        <v>195</v>
      </c>
      <c r="L87" s="115">
        <f>+Grunnlagstall!L35</f>
        <v>202</v>
      </c>
      <c r="M87" s="115">
        <f>+Grunnlagstall!M35</f>
        <v>264</v>
      </c>
      <c r="N87" s="115">
        <f>+Grunnlagstall!N35</f>
        <v>216</v>
      </c>
      <c r="O87" s="115">
        <f>+Grunnlagstall!O35</f>
        <v>185</v>
      </c>
      <c r="P87" s="116">
        <f>+Grunnlagstall!P35</f>
        <v>176</v>
      </c>
      <c r="R87" s="28"/>
    </row>
    <row r="88" spans="1:18" x14ac:dyDescent="0.2">
      <c r="A88" s="70" t="s">
        <v>33</v>
      </c>
      <c r="B88" s="77" t="s">
        <v>180</v>
      </c>
      <c r="C88" s="117">
        <f>+'Utregninger hittil i år'!C51</f>
        <v>17.594394218400939</v>
      </c>
      <c r="D88" s="117">
        <f>+'Utregninger hittil i år'!D51</f>
        <v>12.364409243217526</v>
      </c>
      <c r="E88" s="117">
        <f>+'Utregninger hittil i år'!E51</f>
        <v>5.4246733494316537</v>
      </c>
      <c r="F88" s="117">
        <f>+'Utregninger hittil i år'!F51</f>
        <v>22.378566728505387</v>
      </c>
      <c r="G88" s="117">
        <f>+'Utregninger hittil i år'!G51</f>
        <v>17.796086363468632</v>
      </c>
      <c r="H88" s="117">
        <f>+'Utregninger hittil i år'!H51</f>
        <v>12.404858492090991</v>
      </c>
      <c r="I88" s="117">
        <f>+'Utregninger hittil i år'!I51</f>
        <v>4.4642796792154629</v>
      </c>
      <c r="J88" s="117">
        <f>+'Utregninger hittil i år'!J51</f>
        <v>19.400441894844572</v>
      </c>
      <c r="K88" s="117">
        <f>+'Utregninger hittil i år'!K51</f>
        <v>14.588515485423056</v>
      </c>
      <c r="L88" s="117">
        <f>+'Utregninger hittil i år'!L51</f>
        <v>10.033026071861141</v>
      </c>
      <c r="M88" s="117">
        <f>+'Utregninger hittil i år'!M51</f>
        <v>3.3309269613328998</v>
      </c>
      <c r="N88" s="118">
        <f>+'Utregninger hittil i år'!N51</f>
        <v>17.114549662064086</v>
      </c>
      <c r="O88" s="118">
        <f>+'Utregninger hittil i år'!O51</f>
        <v>12.649027207621019</v>
      </c>
      <c r="P88" s="119">
        <f>+'Utregninger hittil i år'!P51</f>
        <v>8.2075025626439508</v>
      </c>
      <c r="R88" s="28"/>
    </row>
    <row r="89" spans="1:18" x14ac:dyDescent="0.2">
      <c r="A89" s="47" t="s">
        <v>177</v>
      </c>
      <c r="B89" s="77" t="s">
        <v>193</v>
      </c>
      <c r="C89" s="118">
        <f>+C87/(C88*4/3)</f>
        <v>10.912566674173899</v>
      </c>
      <c r="D89" s="118">
        <f>+D87/(D88*4/2)</f>
        <v>9.6243983565391318</v>
      </c>
      <c r="E89" s="118">
        <f>+E87/(E88*4/1)</f>
        <v>10.323202226704979</v>
      </c>
      <c r="F89" s="118">
        <f>+F87/(F88*4/4)</f>
        <v>9.2052365327579793</v>
      </c>
      <c r="G89" s="118">
        <f>+G87/(G88*4/3)</f>
        <v>8.3445313181238063</v>
      </c>
      <c r="H89" s="118">
        <f>+H87/(H88*4/2)</f>
        <v>8.222584728800614</v>
      </c>
      <c r="I89" s="118">
        <f>+I87/(I88*4/1)</f>
        <v>11.648015746436904</v>
      </c>
      <c r="J89" s="118">
        <f>+J87/(J88*4/4)</f>
        <v>11.339947883272817</v>
      </c>
      <c r="K89" s="118">
        <f>+K87/(K88*4/3)</f>
        <v>10.025009065941903</v>
      </c>
      <c r="L89" s="118">
        <f>+L87/(L88*4/2)</f>
        <v>10.066753467656877</v>
      </c>
      <c r="M89" s="118">
        <f>+M87/(M88*4/1)</f>
        <v>19.814304176033183</v>
      </c>
      <c r="N89" s="118">
        <f>+N87/(N88*4/4)</f>
        <v>12.62084041152325</v>
      </c>
      <c r="O89" s="118">
        <f>+O87/(O88*4/3)</f>
        <v>10.969222986286514</v>
      </c>
      <c r="P89" s="119">
        <f t="shared" ref="P89" si="103">+P87/(P88*4/2)</f>
        <v>10.721897352859532</v>
      </c>
      <c r="R89" s="28"/>
    </row>
    <row r="90" spans="1:18" x14ac:dyDescent="0.2">
      <c r="A90" s="41"/>
      <c r="B90" s="63"/>
      <c r="C90" s="42"/>
      <c r="D90" s="42"/>
      <c r="E90" s="42"/>
      <c r="F90" s="42"/>
      <c r="G90" s="42"/>
      <c r="H90" s="42"/>
      <c r="I90" s="42"/>
      <c r="J90" s="42"/>
      <c r="K90" s="120"/>
      <c r="L90" s="120"/>
      <c r="M90" s="120"/>
      <c r="N90" s="120"/>
      <c r="O90" s="120"/>
      <c r="P90" s="121"/>
      <c r="R90" s="28"/>
    </row>
    <row r="91" spans="1:18" x14ac:dyDescent="0.2">
      <c r="A91" s="41" t="str">
        <f>+A87</f>
        <v>Børskurs</v>
      </c>
      <c r="B91" s="63" t="s">
        <v>179</v>
      </c>
      <c r="C91" s="120">
        <f t="shared" ref="C91" si="104">+C87</f>
        <v>256</v>
      </c>
      <c r="D91" s="120">
        <f t="shared" ref="D91:E91" si="105">+D87</f>
        <v>238</v>
      </c>
      <c r="E91" s="120">
        <f t="shared" si="105"/>
        <v>224</v>
      </c>
      <c r="F91" s="120">
        <f t="shared" ref="F91:K91" si="106">+F87</f>
        <v>206</v>
      </c>
      <c r="G91" s="120">
        <f t="shared" si="106"/>
        <v>198</v>
      </c>
      <c r="H91" s="120">
        <f t="shared" si="106"/>
        <v>204</v>
      </c>
      <c r="I91" s="120">
        <f t="shared" si="106"/>
        <v>208</v>
      </c>
      <c r="J91" s="120">
        <f t="shared" si="106"/>
        <v>220</v>
      </c>
      <c r="K91" s="120">
        <f t="shared" si="106"/>
        <v>195</v>
      </c>
      <c r="L91" s="120">
        <f t="shared" ref="L91:P91" si="107">+L87</f>
        <v>202</v>
      </c>
      <c r="M91" s="120">
        <f t="shared" si="107"/>
        <v>264</v>
      </c>
      <c r="N91" s="120">
        <f t="shared" si="107"/>
        <v>216</v>
      </c>
      <c r="O91" s="120">
        <f t="shared" si="107"/>
        <v>185</v>
      </c>
      <c r="P91" s="121">
        <f t="shared" si="107"/>
        <v>176</v>
      </c>
      <c r="R91" s="28"/>
    </row>
    <row r="92" spans="1:18" x14ac:dyDescent="0.2">
      <c r="A92" s="41" t="str">
        <f>+A78</f>
        <v>Bokført egenkapital per egenkapitalbevis</v>
      </c>
      <c r="B92" s="63" t="s">
        <v>181</v>
      </c>
      <c r="C92" s="122">
        <f t="shared" ref="C92" si="108">+C78</f>
        <v>210.65148122104833</v>
      </c>
      <c r="D92" s="122">
        <f t="shared" ref="D92:E92" si="109">+D78</f>
        <v>205.26724232287259</v>
      </c>
      <c r="E92" s="122">
        <f t="shared" si="109"/>
        <v>198.41032842714242</v>
      </c>
      <c r="F92" s="122">
        <f t="shared" ref="F92:K92" si="110">+F78</f>
        <v>208.32691604461925</v>
      </c>
      <c r="G92" s="122">
        <f t="shared" si="110"/>
        <v>198.28854918439967</v>
      </c>
      <c r="H92" s="122">
        <f t="shared" si="110"/>
        <v>192.70517400333284</v>
      </c>
      <c r="I92" s="122">
        <f t="shared" si="110"/>
        <v>184.57845099258046</v>
      </c>
      <c r="J92" s="122">
        <f t="shared" si="110"/>
        <v>192.97796937688454</v>
      </c>
      <c r="K92" s="122">
        <f t="shared" si="110"/>
        <v>182.30473763945076</v>
      </c>
      <c r="L92" s="122">
        <f t="shared" ref="L92:P92" si="111">+L78</f>
        <v>177.59304920688189</v>
      </c>
      <c r="M92" s="122">
        <f t="shared" si="111"/>
        <v>173.7308457500076</v>
      </c>
      <c r="N92" s="122">
        <f t="shared" si="111"/>
        <v>172.77063607444958</v>
      </c>
      <c r="O92" s="122">
        <f t="shared" si="111"/>
        <v>167.92207385878328</v>
      </c>
      <c r="P92" s="123">
        <f t="shared" si="111"/>
        <v>160.75395735967555</v>
      </c>
      <c r="R92" s="28"/>
    </row>
    <row r="93" spans="1:18" x14ac:dyDescent="0.2">
      <c r="A93" s="41" t="s">
        <v>35</v>
      </c>
      <c r="B93" s="68" t="s">
        <v>182</v>
      </c>
      <c r="C93" s="124">
        <f t="shared" ref="C93:D93" si="112">+C91/C92</f>
        <v>1.2152774740347776</v>
      </c>
      <c r="D93" s="124">
        <f t="shared" si="112"/>
        <v>1.159464107895213</v>
      </c>
      <c r="E93" s="124">
        <f t="shared" ref="E93:K93" si="113">+E91/E92</f>
        <v>1.1289734852803002</v>
      </c>
      <c r="F93" s="124">
        <f t="shared" si="113"/>
        <v>0.98883045893061228</v>
      </c>
      <c r="G93" s="124">
        <f t="shared" si="113"/>
        <v>0.99854480157534797</v>
      </c>
      <c r="H93" s="124">
        <f t="shared" si="113"/>
        <v>1.0586119498611481</v>
      </c>
      <c r="I93" s="124">
        <f t="shared" si="113"/>
        <v>1.1268921094606057</v>
      </c>
      <c r="J93" s="124">
        <f t="shared" si="113"/>
        <v>1.1400265051516925</v>
      </c>
      <c r="K93" s="124">
        <f t="shared" si="113"/>
        <v>1.0696375888248006</v>
      </c>
      <c r="L93" s="124">
        <f t="shared" ref="L93:P93" si="114">+L91/L92</f>
        <v>1.1374319034563449</v>
      </c>
      <c r="M93" s="124">
        <f t="shared" si="114"/>
        <v>1.5195919806888321</v>
      </c>
      <c r="N93" s="124">
        <f t="shared" si="114"/>
        <v>1.2502124487573352</v>
      </c>
      <c r="O93" s="124">
        <f t="shared" si="114"/>
        <v>1.1017014961093123</v>
      </c>
      <c r="P93" s="125">
        <f t="shared" si="114"/>
        <v>1.0948408542516468</v>
      </c>
      <c r="R93" s="28"/>
    </row>
    <row r="94" spans="1:18" x14ac:dyDescent="0.2">
      <c r="A94" s="41"/>
      <c r="B94" s="63"/>
      <c r="C94" s="42"/>
      <c r="D94" s="42"/>
      <c r="E94" s="42"/>
      <c r="F94" s="42"/>
      <c r="G94" s="42"/>
      <c r="H94" s="42"/>
      <c r="I94" s="42"/>
      <c r="J94" s="42"/>
      <c r="K94" s="120"/>
      <c r="L94" s="120"/>
      <c r="M94" s="120"/>
      <c r="N94" s="120"/>
      <c r="O94" s="120"/>
      <c r="P94" s="121"/>
      <c r="R94" s="28"/>
    </row>
    <row r="95" spans="1:18" x14ac:dyDescent="0.2">
      <c r="A95" s="70" t="str">
        <f>+Grunnlagstall!A24</f>
        <v>Forvaltningskapital</v>
      </c>
      <c r="B95" s="77" t="s">
        <v>142</v>
      </c>
      <c r="C95" s="48">
        <f t="shared" ref="C95" si="115">+C45</f>
        <v>22594502.437619999</v>
      </c>
      <c r="D95" s="48">
        <f t="shared" ref="D95:E95" si="116">+D45</f>
        <v>22667928.088609997</v>
      </c>
      <c r="E95" s="48">
        <f t="shared" si="116"/>
        <v>22351973.26895</v>
      </c>
      <c r="F95" s="48">
        <f t="shared" ref="F95:K95" si="117">+F45</f>
        <v>22323320.255870003</v>
      </c>
      <c r="G95" s="48">
        <f t="shared" si="117"/>
        <v>21788823</v>
      </c>
      <c r="H95" s="48">
        <f t="shared" si="117"/>
        <v>22136236.583860002</v>
      </c>
      <c r="I95" s="48">
        <f t="shared" si="117"/>
        <v>22119882.199110031</v>
      </c>
      <c r="J95" s="48">
        <f t="shared" si="117"/>
        <v>21974314.547970034</v>
      </c>
      <c r="K95" s="48">
        <f t="shared" si="117"/>
        <v>22050085.62483</v>
      </c>
      <c r="L95" s="48">
        <f t="shared" ref="L95:P95" si="118">+L45</f>
        <v>21949215.152980071</v>
      </c>
      <c r="M95" s="48">
        <f t="shared" si="118"/>
        <v>21203324.595910076</v>
      </c>
      <c r="N95" s="48">
        <f t="shared" si="118"/>
        <v>20843345</v>
      </c>
      <c r="O95" s="48">
        <f t="shared" si="118"/>
        <v>20670818.58611</v>
      </c>
      <c r="P95" s="49">
        <f t="shared" si="118"/>
        <v>20034418</v>
      </c>
      <c r="R95" s="28"/>
    </row>
    <row r="96" spans="1:18" x14ac:dyDescent="0.2">
      <c r="A96" s="70" t="str">
        <f>+Grunnlagstall!A26</f>
        <v>Utlån formidlet via Eika Boligkreditt AS (EBK)</v>
      </c>
      <c r="B96" s="77" t="s">
        <v>165</v>
      </c>
      <c r="C96" s="48">
        <f t="shared" ref="C96" si="119">+C65</f>
        <v>3363331.9530000002</v>
      </c>
      <c r="D96" s="48">
        <f t="shared" ref="D96:E96" si="120">+D65</f>
        <v>3681978</v>
      </c>
      <c r="E96" s="48">
        <f t="shared" si="120"/>
        <v>4020344</v>
      </c>
      <c r="F96" s="48">
        <f t="shared" ref="F96:K96" si="121">+F65</f>
        <v>4191335</v>
      </c>
      <c r="G96" s="48">
        <f t="shared" si="121"/>
        <v>3606378</v>
      </c>
      <c r="H96" s="48">
        <f t="shared" si="121"/>
        <v>2913291</v>
      </c>
      <c r="I96" s="48">
        <f t="shared" si="121"/>
        <v>2796350</v>
      </c>
      <c r="J96" s="48">
        <f t="shared" si="121"/>
        <v>2583525</v>
      </c>
      <c r="K96" s="48">
        <f t="shared" si="121"/>
        <v>2314942</v>
      </c>
      <c r="L96" s="48">
        <f t="shared" ref="L96:P96" si="122">+L65</f>
        <v>2275765</v>
      </c>
      <c r="M96" s="48">
        <f t="shared" si="122"/>
        <v>2427530</v>
      </c>
      <c r="N96" s="48">
        <f t="shared" si="122"/>
        <v>2399721</v>
      </c>
      <c r="O96" s="48">
        <f t="shared" si="122"/>
        <v>2433214.9</v>
      </c>
      <c r="P96" s="49">
        <f t="shared" si="122"/>
        <v>2513001</v>
      </c>
      <c r="R96" s="28"/>
    </row>
    <row r="97" spans="1:18" x14ac:dyDescent="0.2">
      <c r="A97" s="70" t="s">
        <v>64</v>
      </c>
      <c r="B97" s="78" t="s">
        <v>183</v>
      </c>
      <c r="C97" s="48">
        <f t="shared" ref="C97:D97" si="123">+C95+C96</f>
        <v>25957834.390620001</v>
      </c>
      <c r="D97" s="48">
        <f t="shared" si="123"/>
        <v>26349906.088609997</v>
      </c>
      <c r="E97" s="48">
        <f t="shared" ref="E97:K97" si="124">+E95+E96</f>
        <v>26372317.26895</v>
      </c>
      <c r="F97" s="48">
        <f t="shared" si="124"/>
        <v>26514655.255870003</v>
      </c>
      <c r="G97" s="48">
        <f t="shared" si="124"/>
        <v>25395201</v>
      </c>
      <c r="H97" s="48">
        <f t="shared" si="124"/>
        <v>25049527.583860002</v>
      </c>
      <c r="I97" s="48">
        <f t="shared" si="124"/>
        <v>24916232.199110031</v>
      </c>
      <c r="J97" s="48">
        <f t="shared" si="124"/>
        <v>24557839.547970034</v>
      </c>
      <c r="K97" s="48">
        <f t="shared" si="124"/>
        <v>24365027.62483</v>
      </c>
      <c r="L97" s="48">
        <f t="shared" ref="L97:P97" si="125">+L95+L96</f>
        <v>24224980.152980071</v>
      </c>
      <c r="M97" s="48">
        <f t="shared" si="125"/>
        <v>23630854.595910076</v>
      </c>
      <c r="N97" s="48">
        <f t="shared" si="125"/>
        <v>23243066</v>
      </c>
      <c r="O97" s="48">
        <f t="shared" si="125"/>
        <v>23104033.486109998</v>
      </c>
      <c r="P97" s="49">
        <f t="shared" si="125"/>
        <v>22547419</v>
      </c>
      <c r="R97" s="28"/>
    </row>
    <row r="98" spans="1:18" x14ac:dyDescent="0.2">
      <c r="A98" s="41"/>
      <c r="B98" s="63"/>
      <c r="C98" s="42"/>
      <c r="D98" s="42"/>
      <c r="E98" s="42"/>
      <c r="F98" s="42"/>
      <c r="G98" s="42"/>
      <c r="H98" s="42"/>
      <c r="I98" s="42"/>
      <c r="J98" s="42"/>
      <c r="K98" s="42"/>
      <c r="L98" s="42"/>
      <c r="M98" s="42"/>
      <c r="N98" s="42"/>
      <c r="O98" s="42"/>
      <c r="P98" s="43"/>
      <c r="R98" s="28"/>
    </row>
    <row r="99" spans="1:18" x14ac:dyDescent="0.2">
      <c r="A99" s="41" t="str">
        <f>+Grunnlagstall!A19</f>
        <v>Netto utlån til og fordringer på kunder</v>
      </c>
      <c r="B99" s="63" t="s">
        <v>150</v>
      </c>
      <c r="C99" s="45">
        <f>+Grunnlagstall!C19</f>
        <v>19763722.567200005</v>
      </c>
      <c r="D99" s="45">
        <f>+Grunnlagstall!D19</f>
        <v>19374754.813400004</v>
      </c>
      <c r="E99" s="45">
        <f>+Grunnlagstall!E19</f>
        <v>18785430.832879998</v>
      </c>
      <c r="F99" s="45">
        <f>+Grunnlagstall!F19</f>
        <v>18521993.758899998</v>
      </c>
      <c r="G99" s="45">
        <f>+Grunnlagstall!G19</f>
        <v>18764829.274999999</v>
      </c>
      <c r="H99" s="45">
        <f>+Grunnlagstall!H19</f>
        <v>19228385.669</v>
      </c>
      <c r="I99" s="45">
        <f>+Grunnlagstall!I19</f>
        <v>18802793.790859867</v>
      </c>
      <c r="J99" s="45">
        <f>+Grunnlagstall!J19</f>
        <v>18836623.624359865</v>
      </c>
      <c r="K99" s="45">
        <f>+Grunnlagstall!K19</f>
        <v>18858337.343439784</v>
      </c>
      <c r="L99" s="45">
        <f>+Grunnlagstall!L19</f>
        <v>18548959.305619802</v>
      </c>
      <c r="M99" s="45">
        <f>+Grunnlagstall!M19</f>
        <v>17967360.297719706</v>
      </c>
      <c r="N99" s="45">
        <f>+Grunnlagstall!N19</f>
        <v>17730021.602289729</v>
      </c>
      <c r="O99" s="45">
        <f>+Grunnlagstall!O19</f>
        <v>17778799.599719867</v>
      </c>
      <c r="P99" s="46">
        <f>+Grunnlagstall!P19</f>
        <v>17358838.674029812</v>
      </c>
      <c r="R99" s="28"/>
    </row>
    <row r="100" spans="1:18" x14ac:dyDescent="0.2">
      <c r="A100" s="41" t="str">
        <f>+Grunnlagstall!A26</f>
        <v>Utlån formidlet via Eika Boligkreditt AS (EBK)</v>
      </c>
      <c r="B100" s="63" t="s">
        <v>165</v>
      </c>
      <c r="C100" s="45">
        <f>+Grunnlagstall!C26</f>
        <v>3363331.9530000002</v>
      </c>
      <c r="D100" s="45">
        <f>+Grunnlagstall!D26</f>
        <v>3681978</v>
      </c>
      <c r="E100" s="45">
        <f>+Grunnlagstall!E26</f>
        <v>4020344</v>
      </c>
      <c r="F100" s="45">
        <f>+Grunnlagstall!F26</f>
        <v>4191335</v>
      </c>
      <c r="G100" s="45">
        <f>+Grunnlagstall!G26</f>
        <v>3606378</v>
      </c>
      <c r="H100" s="45">
        <f>+Grunnlagstall!H26</f>
        <v>2913291</v>
      </c>
      <c r="I100" s="45">
        <f>+Grunnlagstall!I26</f>
        <v>2796350</v>
      </c>
      <c r="J100" s="45">
        <f>+Grunnlagstall!J26</f>
        <v>2583525</v>
      </c>
      <c r="K100" s="45">
        <f>+Grunnlagstall!K26</f>
        <v>2314942</v>
      </c>
      <c r="L100" s="45">
        <f>+Grunnlagstall!L26</f>
        <v>2275765</v>
      </c>
      <c r="M100" s="45">
        <f>+Grunnlagstall!M26</f>
        <v>2427530</v>
      </c>
      <c r="N100" s="45">
        <f>+Grunnlagstall!N26</f>
        <v>2399721</v>
      </c>
      <c r="O100" s="45">
        <f>+Grunnlagstall!O26</f>
        <v>2433214.9</v>
      </c>
      <c r="P100" s="46">
        <f>+Grunnlagstall!P26</f>
        <v>2513001</v>
      </c>
      <c r="R100" s="28"/>
    </row>
    <row r="101" spans="1:18" ht="13.5" thickBot="1" x14ac:dyDescent="0.25">
      <c r="A101" s="60" t="s">
        <v>65</v>
      </c>
      <c r="B101" s="69" t="s">
        <v>184</v>
      </c>
      <c r="C101" s="61">
        <f t="shared" ref="C101:D101" si="126">+C99+C100</f>
        <v>23127054.520200007</v>
      </c>
      <c r="D101" s="61">
        <f t="shared" si="126"/>
        <v>23056732.813400004</v>
      </c>
      <c r="E101" s="61">
        <f t="shared" ref="E101:K101" si="127">+E99+E100</f>
        <v>22805774.832879998</v>
      </c>
      <c r="F101" s="61">
        <f t="shared" si="127"/>
        <v>22713328.758899998</v>
      </c>
      <c r="G101" s="61">
        <f t="shared" si="127"/>
        <v>22371207.274999999</v>
      </c>
      <c r="H101" s="61">
        <f t="shared" si="127"/>
        <v>22141676.669</v>
      </c>
      <c r="I101" s="61">
        <f t="shared" si="127"/>
        <v>21599143.790859867</v>
      </c>
      <c r="J101" s="61">
        <f t="shared" si="127"/>
        <v>21420148.624359865</v>
      </c>
      <c r="K101" s="61">
        <f t="shared" si="127"/>
        <v>21173279.343439784</v>
      </c>
      <c r="L101" s="61">
        <f t="shared" ref="L101:P101" si="128">+L99+L100</f>
        <v>20824724.305619802</v>
      </c>
      <c r="M101" s="61">
        <f t="shared" si="128"/>
        <v>20394890.297719706</v>
      </c>
      <c r="N101" s="61">
        <f t="shared" si="128"/>
        <v>20129742.602289729</v>
      </c>
      <c r="O101" s="61">
        <f t="shared" si="128"/>
        <v>20212014.499719866</v>
      </c>
      <c r="P101" s="62">
        <f t="shared" si="128"/>
        <v>19871839.674029812</v>
      </c>
      <c r="R101" s="28"/>
    </row>
    <row r="102" spans="1:18" x14ac:dyDescent="0.2">
      <c r="A102" s="28"/>
      <c r="B102" s="28"/>
      <c r="C102" s="28"/>
      <c r="D102" s="28"/>
      <c r="E102" s="28"/>
      <c r="F102" s="28"/>
      <c r="G102" s="28"/>
      <c r="H102" s="28"/>
      <c r="I102" s="28"/>
      <c r="J102" s="28"/>
      <c r="R102" s="28"/>
    </row>
    <row r="103" spans="1:18" x14ac:dyDescent="0.2">
      <c r="A103" s="28"/>
      <c r="B103" s="28"/>
      <c r="C103" s="28"/>
      <c r="D103" s="28"/>
      <c r="E103" s="28"/>
      <c r="F103" s="28"/>
      <c r="G103" s="28"/>
      <c r="H103" s="28"/>
      <c r="I103" s="28"/>
      <c r="J103" s="28"/>
      <c r="R103" s="28"/>
    </row>
    <row r="104" spans="1:18" x14ac:dyDescent="0.2">
      <c r="A104" s="28"/>
      <c r="B104" s="28"/>
      <c r="C104" s="28"/>
      <c r="D104" s="28"/>
      <c r="E104" s="28"/>
      <c r="F104" s="28"/>
      <c r="G104" s="28"/>
      <c r="H104" s="28"/>
      <c r="I104" s="28"/>
      <c r="J104" s="28"/>
      <c r="R104" s="28"/>
    </row>
    <row r="105" spans="1:18" x14ac:dyDescent="0.2">
      <c r="A105" s="28"/>
      <c r="B105" s="28"/>
      <c r="C105" s="28"/>
      <c r="D105" s="28"/>
      <c r="E105" s="28"/>
      <c r="F105" s="28"/>
      <c r="G105" s="28"/>
      <c r="H105" s="28"/>
      <c r="I105" s="28"/>
      <c r="J105" s="28"/>
      <c r="R105" s="28"/>
    </row>
  </sheetData>
  <phoneticPr fontId="10" type="noConversion"/>
  <pageMargins left="0.7" right="0.7" top="0.75" bottom="0.75" header="0.3" footer="0.3"/>
  <pageSetup paperSize="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377F3-6283-4A81-9155-588AC7575097}">
  <dimension ref="A1:P51"/>
  <sheetViews>
    <sheetView topLeftCell="A24" zoomScaleNormal="100" workbookViewId="0">
      <selection activeCell="C39" sqref="C39"/>
    </sheetView>
  </sheetViews>
  <sheetFormatPr baseColWidth="10" defaultRowHeight="12.75" x14ac:dyDescent="0.2"/>
  <cols>
    <col min="1" max="1" width="61.85546875" style="126" bestFit="1" customWidth="1"/>
    <col min="2" max="3" width="25.85546875" customWidth="1"/>
    <col min="4" max="10" width="12.140625" customWidth="1"/>
    <col min="11" max="16" width="11.140625" style="28" customWidth="1"/>
  </cols>
  <sheetData>
    <row r="1" spans="1:16" ht="19.5" x14ac:dyDescent="0.25">
      <c r="A1" s="33" t="s">
        <v>201</v>
      </c>
      <c r="B1" s="37"/>
      <c r="C1" s="37"/>
      <c r="D1" s="37"/>
      <c r="E1" s="37"/>
      <c r="F1" s="37"/>
      <c r="G1" s="37"/>
      <c r="H1" s="37"/>
      <c r="I1" s="37"/>
      <c r="J1" s="37"/>
      <c r="K1" s="34"/>
      <c r="L1" s="34"/>
      <c r="M1" s="34"/>
      <c r="N1" s="34"/>
      <c r="O1" s="34"/>
      <c r="P1" s="35"/>
    </row>
    <row r="2" spans="1:16" ht="13.5" thickBot="1" x14ac:dyDescent="0.25">
      <c r="A2" s="36"/>
      <c r="B2" s="114"/>
      <c r="C2" s="37"/>
      <c r="D2" s="37"/>
      <c r="E2" s="37"/>
      <c r="F2" s="37"/>
      <c r="G2" s="37"/>
      <c r="H2" s="37"/>
      <c r="I2" s="37"/>
      <c r="J2" s="37"/>
      <c r="K2" s="38"/>
      <c r="L2" s="38"/>
      <c r="M2" s="38"/>
      <c r="N2" s="38"/>
      <c r="O2" s="38"/>
      <c r="P2" s="39"/>
    </row>
    <row r="3" spans="1:16" x14ac:dyDescent="0.2">
      <c r="A3" s="40" t="s">
        <v>194</v>
      </c>
      <c r="B3" s="113" t="s">
        <v>122</v>
      </c>
      <c r="C3" s="133">
        <v>45565</v>
      </c>
      <c r="D3" s="133">
        <v>45473</v>
      </c>
      <c r="E3" s="133">
        <v>45382</v>
      </c>
      <c r="F3" s="133" t="s">
        <v>237</v>
      </c>
      <c r="G3" s="133">
        <v>45199</v>
      </c>
      <c r="H3" s="133">
        <v>45107</v>
      </c>
      <c r="I3" s="129">
        <v>45016</v>
      </c>
      <c r="J3" s="129">
        <v>44926</v>
      </c>
      <c r="K3" s="129">
        <v>44834</v>
      </c>
      <c r="L3" s="129">
        <v>44742</v>
      </c>
      <c r="M3" s="129">
        <v>44651</v>
      </c>
      <c r="N3" s="129">
        <v>44561</v>
      </c>
      <c r="O3" s="129">
        <v>44469</v>
      </c>
      <c r="P3" s="130">
        <v>44377</v>
      </c>
    </row>
    <row r="4" spans="1:16" x14ac:dyDescent="0.2">
      <c r="A4" s="79"/>
      <c r="B4" s="84"/>
      <c r="C4" s="132"/>
      <c r="D4" s="132"/>
      <c r="E4" s="132"/>
      <c r="F4" s="132"/>
      <c r="G4" s="132"/>
      <c r="H4" s="132"/>
      <c r="I4" s="132"/>
      <c r="J4" s="132"/>
      <c r="K4" s="80"/>
      <c r="L4" s="80"/>
      <c r="M4" s="80"/>
      <c r="N4" s="80"/>
      <c r="O4" s="80"/>
      <c r="P4" s="81"/>
    </row>
    <row r="5" spans="1:16" x14ac:dyDescent="0.2">
      <c r="A5" s="41" t="s">
        <v>197</v>
      </c>
      <c r="B5" s="63" t="s">
        <v>117</v>
      </c>
      <c r="C5" s="42">
        <f>+D5+92</f>
        <v>274</v>
      </c>
      <c r="D5" s="42">
        <f>91+30+31+30</f>
        <v>182</v>
      </c>
      <c r="E5" s="42">
        <f>31+29+31</f>
        <v>91</v>
      </c>
      <c r="F5" s="42">
        <v>365</v>
      </c>
      <c r="G5" s="42">
        <f>31+28+31+30+31+30+31+31+30</f>
        <v>273</v>
      </c>
      <c r="H5" s="42">
        <f>31+28+31+30+31+30</f>
        <v>181</v>
      </c>
      <c r="I5" s="42">
        <f>31+28+31</f>
        <v>90</v>
      </c>
      <c r="J5" s="42">
        <f>+K5+'Avsteming nøkkeltall kvartal'!J4</f>
        <v>365</v>
      </c>
      <c r="K5" s="42">
        <f>+L5+'Avsteming nøkkeltall kvartal'!K4</f>
        <v>273</v>
      </c>
      <c r="L5" s="42">
        <f>+M5+'Avsteming nøkkeltall kvartal'!L4</f>
        <v>181</v>
      </c>
      <c r="M5" s="42">
        <f>31+28+31</f>
        <v>90</v>
      </c>
      <c r="N5" s="42">
        <f>31+30+31+273</f>
        <v>365</v>
      </c>
      <c r="O5" s="42">
        <f>31+31+30+181</f>
        <v>273</v>
      </c>
      <c r="P5" s="43">
        <f>30+31+30+31+28+31</f>
        <v>181</v>
      </c>
    </row>
    <row r="6" spans="1:16" x14ac:dyDescent="0.2">
      <c r="A6" s="44" t="s">
        <v>185</v>
      </c>
      <c r="B6" s="64" t="s">
        <v>118</v>
      </c>
      <c r="C6" s="82">
        <f>+Grunnlagstall!C39</f>
        <v>22472959</v>
      </c>
      <c r="D6" s="82">
        <f>+Grunnlagstall!D39</f>
        <v>22393028</v>
      </c>
      <c r="E6" s="82">
        <f>+Grunnlagstall!E39</f>
        <v>22345157</v>
      </c>
      <c r="F6" s="82">
        <f>+Grunnlagstall!F39</f>
        <v>22149722</v>
      </c>
      <c r="G6" s="82">
        <f>+Grunnlagstall!G39</f>
        <v>22076451</v>
      </c>
      <c r="H6" s="82">
        <f>+Grunnlagstall!H39</f>
        <v>22121825</v>
      </c>
      <c r="I6" s="82">
        <f>+Grunnlagstall!I39</f>
        <v>22199993</v>
      </c>
      <c r="J6" s="82">
        <f>+Grunnlagstall!J39</f>
        <v>21595648</v>
      </c>
      <c r="K6" s="82">
        <f>+Grunnlagstall!K39</f>
        <v>21472522</v>
      </c>
      <c r="L6" s="82">
        <f>+Grunnlagstall!L39</f>
        <v>21312557</v>
      </c>
      <c r="M6" s="82">
        <f>+Grunnlagstall!M39</f>
        <v>21067720</v>
      </c>
      <c r="N6" s="82">
        <f>+Grunnlagstall!N39</f>
        <v>19908177</v>
      </c>
      <c r="O6" s="82">
        <f>+Grunnlagstall!O39</f>
        <v>19627945</v>
      </c>
      <c r="P6" s="83">
        <f>+Grunnlagstall!P39</f>
        <v>19269426</v>
      </c>
    </row>
    <row r="7" spans="1:16" x14ac:dyDescent="0.2">
      <c r="A7" s="44" t="s">
        <v>196</v>
      </c>
      <c r="B7" s="64" t="s">
        <v>119</v>
      </c>
      <c r="C7" s="45">
        <f>+Grunnlagstall!C27</f>
        <v>81</v>
      </c>
      <c r="D7" s="45">
        <f>+Grunnlagstall!D27</f>
        <v>88</v>
      </c>
      <c r="E7" s="45">
        <f>+Grunnlagstall!E27</f>
        <v>87</v>
      </c>
      <c r="F7" s="45">
        <f>+Grunnlagstall!F27</f>
        <v>88</v>
      </c>
      <c r="G7" s="45">
        <f>+Grunnlagstall!G27</f>
        <v>87</v>
      </c>
      <c r="H7" s="45">
        <f>+Grunnlagstall!H27</f>
        <v>89.51</v>
      </c>
      <c r="I7" s="45">
        <f>+Grunnlagstall!I27</f>
        <v>89.51</v>
      </c>
      <c r="J7" s="45">
        <f>+Grunnlagstall!J27</f>
        <v>90</v>
      </c>
      <c r="K7" s="45">
        <f>+Grunnlagstall!K27</f>
        <v>88</v>
      </c>
      <c r="L7" s="45">
        <f>+Grunnlagstall!L27</f>
        <v>88</v>
      </c>
      <c r="M7" s="45">
        <f>+Grunnlagstall!M27</f>
        <v>88</v>
      </c>
      <c r="N7" s="45">
        <f>+Grunnlagstall!N27</f>
        <v>89</v>
      </c>
      <c r="O7" s="45">
        <f>+Grunnlagstall!O27</f>
        <v>90</v>
      </c>
      <c r="P7" s="46">
        <f>+Grunnlagstall!P27</f>
        <v>88.7</v>
      </c>
    </row>
    <row r="8" spans="1:16" x14ac:dyDescent="0.2">
      <c r="A8" s="44"/>
      <c r="B8" s="64"/>
      <c r="C8" s="131"/>
      <c r="D8" s="131"/>
      <c r="E8" s="131"/>
      <c r="F8" s="131"/>
      <c r="G8" s="131"/>
      <c r="H8" s="131"/>
      <c r="I8" s="131"/>
      <c r="J8" s="131"/>
      <c r="K8" s="45"/>
      <c r="L8" s="45"/>
      <c r="M8" s="45"/>
      <c r="N8" s="45"/>
      <c r="O8" s="45"/>
      <c r="P8" s="46"/>
    </row>
    <row r="9" spans="1:16" x14ac:dyDescent="0.2">
      <c r="A9" s="47" t="s">
        <v>192</v>
      </c>
      <c r="B9" s="65" t="s">
        <v>120</v>
      </c>
      <c r="C9" s="48">
        <f>+Grunnlagstall!C44</f>
        <v>410148</v>
      </c>
      <c r="D9" s="48">
        <f>+Grunnlagstall!D44</f>
        <v>268031</v>
      </c>
      <c r="E9" s="48">
        <f>+Grunnlagstall!E44</f>
        <v>133527.77151000011</v>
      </c>
      <c r="F9" s="48">
        <f>+Grunnlagstall!F44</f>
        <v>518569</v>
      </c>
      <c r="G9" s="48">
        <f>+Grunnlagstall!G44</f>
        <v>384705</v>
      </c>
      <c r="H9" s="48">
        <f>+Grunnlagstall!H44</f>
        <v>250532</v>
      </c>
      <c r="I9" s="48">
        <f>+Grunnlagstall!I44</f>
        <v>122912.47058000037</v>
      </c>
      <c r="J9" s="48">
        <f>+Grunnlagstall!J44</f>
        <v>417285.0513899934</v>
      </c>
      <c r="K9" s="48">
        <f>+Grunnlagstall!K44</f>
        <v>296851</v>
      </c>
      <c r="L9" s="48">
        <f>+Grunnlagstall!L44</f>
        <v>188386</v>
      </c>
      <c r="M9" s="48">
        <f>+Grunnlagstall!M44</f>
        <v>91273.909800000023</v>
      </c>
      <c r="N9" s="48">
        <f>+Grunnlagstall!N44</f>
        <v>346461</v>
      </c>
      <c r="O9" s="48">
        <f>+Grunnlagstall!O44</f>
        <v>253637</v>
      </c>
      <c r="P9" s="49">
        <f>+Grunnlagstall!P44</f>
        <v>162331</v>
      </c>
    </row>
    <row r="10" spans="1:16" x14ac:dyDescent="0.2">
      <c r="A10" s="47" t="s">
        <v>195</v>
      </c>
      <c r="B10" s="66" t="s">
        <v>121</v>
      </c>
      <c r="C10" s="50">
        <f>+C9*366/C$5/C$6</f>
        <v>2.4378717862979203E-2</v>
      </c>
      <c r="D10" s="50">
        <f t="shared" ref="D10" si="0">+D9*365/D$5/D$6</f>
        <v>2.4004556141411414E-2</v>
      </c>
      <c r="E10" s="50">
        <f t="shared" ref="E10:K10" si="1">+E9*365/E$5/E$6</f>
        <v>2.3968434152799284E-2</v>
      </c>
      <c r="F10" s="50">
        <f t="shared" si="1"/>
        <v>2.3411986841189249E-2</v>
      </c>
      <c r="G10" s="50">
        <f t="shared" si="1"/>
        <v>2.3298544490877444E-2</v>
      </c>
      <c r="H10" s="50">
        <f t="shared" si="1"/>
        <v>2.2837919750671464E-2</v>
      </c>
      <c r="I10" s="50">
        <f t="shared" si="1"/>
        <v>2.2453986940796752E-2</v>
      </c>
      <c r="J10" s="50">
        <f t="shared" si="1"/>
        <v>1.9322645534414776E-2</v>
      </c>
      <c r="K10" s="50">
        <f t="shared" si="1"/>
        <v>1.8483562370256255E-2</v>
      </c>
      <c r="L10" s="50">
        <f t="shared" ref="L10:P10" si="2">+L9*365/L$5/L$6</f>
        <v>1.7824910445494772E-2</v>
      </c>
      <c r="M10" s="50">
        <f t="shared" si="2"/>
        <v>1.7570311925859408E-2</v>
      </c>
      <c r="N10" s="50">
        <f t="shared" si="2"/>
        <v>1.7402949551834909E-2</v>
      </c>
      <c r="O10" s="50">
        <f t="shared" si="2"/>
        <v>1.727698645613384E-2</v>
      </c>
      <c r="P10" s="51">
        <f t="shared" si="2"/>
        <v>1.6988184757593373E-2</v>
      </c>
    </row>
    <row r="11" spans="1:16" x14ac:dyDescent="0.2">
      <c r="A11" s="44"/>
      <c r="B11" s="64"/>
      <c r="C11" s="131"/>
      <c r="D11" s="131"/>
      <c r="E11" s="131"/>
      <c r="F11" s="131"/>
      <c r="G11" s="131"/>
      <c r="H11" s="131"/>
      <c r="I11" s="131"/>
      <c r="J11" s="131"/>
      <c r="K11" s="42"/>
      <c r="L11" s="42"/>
      <c r="M11" s="42"/>
      <c r="N11" s="42"/>
      <c r="O11" s="42"/>
      <c r="P11" s="43"/>
    </row>
    <row r="12" spans="1:16" x14ac:dyDescent="0.2">
      <c r="A12" s="44" t="s">
        <v>90</v>
      </c>
      <c r="B12" s="64" t="s">
        <v>123</v>
      </c>
      <c r="C12" s="45">
        <f>+Grunnlagstall!C45</f>
        <v>87659</v>
      </c>
      <c r="D12" s="45">
        <f>+Grunnlagstall!D45</f>
        <v>66846</v>
      </c>
      <c r="E12" s="45">
        <f>+Grunnlagstall!E45</f>
        <v>23851.284140000003</v>
      </c>
      <c r="F12" s="45">
        <f>+Grunnlagstall!F45</f>
        <v>115538</v>
      </c>
      <c r="G12" s="45">
        <f>+Grunnlagstall!G45</f>
        <v>94676</v>
      </c>
      <c r="H12" s="45">
        <f>+Grunnlagstall!H45</f>
        <v>74005</v>
      </c>
      <c r="I12" s="45">
        <f>+Grunnlagstall!I45</f>
        <v>14331.357110000004</v>
      </c>
      <c r="J12" s="45">
        <f>+Grunnlagstall!J45</f>
        <v>104104.36939000005</v>
      </c>
      <c r="K12" s="45">
        <f>+Grunnlagstall!K45</f>
        <v>84485</v>
      </c>
      <c r="L12" s="45">
        <f>+Grunnlagstall!L45</f>
        <v>68573</v>
      </c>
      <c r="M12" s="45">
        <f>+Grunnlagstall!M45</f>
        <v>19655.227310000009</v>
      </c>
      <c r="N12" s="45">
        <f>+Grunnlagstall!N45</f>
        <v>115554</v>
      </c>
      <c r="O12" s="45">
        <f>+Grunnlagstall!O45</f>
        <v>85212</v>
      </c>
      <c r="P12" s="46">
        <f>+Grunnlagstall!P45</f>
        <v>64587</v>
      </c>
    </row>
    <row r="13" spans="1:16" x14ac:dyDescent="0.2">
      <c r="A13" s="44" t="s">
        <v>73</v>
      </c>
      <c r="B13" s="67" t="s">
        <v>125</v>
      </c>
      <c r="C13" s="52">
        <f t="shared" ref="C13:D13" si="3">+C12*365/C$5/C$6</f>
        <v>5.1961126057073863E-3</v>
      </c>
      <c r="D13" s="52">
        <f t="shared" si="3"/>
        <v>5.9866528865272581E-3</v>
      </c>
      <c r="E13" s="52">
        <f t="shared" ref="E13:K13" si="4">+E12*365/E$5/E$6</f>
        <v>4.2813410791213728E-3</v>
      </c>
      <c r="F13" s="52">
        <f t="shared" si="4"/>
        <v>5.216227995999227E-3</v>
      </c>
      <c r="G13" s="52">
        <f t="shared" si="4"/>
        <v>5.7337778251343565E-3</v>
      </c>
      <c r="H13" s="52">
        <f t="shared" si="4"/>
        <v>6.7461252500616358E-3</v>
      </c>
      <c r="I13" s="52">
        <f t="shared" si="4"/>
        <v>2.6180915888627141E-3</v>
      </c>
      <c r="J13" s="52">
        <f t="shared" si="4"/>
        <v>4.8206179962740668E-3</v>
      </c>
      <c r="K13" s="52">
        <f t="shared" si="4"/>
        <v>5.2604969053535273E-3</v>
      </c>
      <c r="L13" s="52">
        <f t="shared" ref="L13:P13" si="5">+L12*365/L$5/L$6</f>
        <v>6.4883143332249375E-3</v>
      </c>
      <c r="M13" s="52">
        <f t="shared" si="5"/>
        <v>3.7836494083259994E-3</v>
      </c>
      <c r="N13" s="52">
        <f t="shared" si="5"/>
        <v>5.8043486352366671E-3</v>
      </c>
      <c r="O13" s="52">
        <f t="shared" si="5"/>
        <v>5.8043840997176153E-3</v>
      </c>
      <c r="P13" s="53">
        <f t="shared" si="5"/>
        <v>6.7591272704454683E-3</v>
      </c>
    </row>
    <row r="14" spans="1:16" x14ac:dyDescent="0.2">
      <c r="A14" s="44"/>
      <c r="B14" s="64"/>
      <c r="C14" s="131"/>
      <c r="D14" s="131"/>
      <c r="E14" s="131"/>
      <c r="F14" s="131"/>
      <c r="G14" s="42"/>
      <c r="H14" s="42"/>
      <c r="I14" s="42"/>
      <c r="J14" s="42"/>
      <c r="K14" s="42"/>
      <c r="L14" s="42"/>
      <c r="M14" s="42"/>
      <c r="N14" s="42"/>
      <c r="O14" s="42"/>
      <c r="P14" s="43"/>
    </row>
    <row r="15" spans="1:16" x14ac:dyDescent="0.2">
      <c r="A15" s="47" t="s">
        <v>91</v>
      </c>
      <c r="B15" s="65" t="s">
        <v>124</v>
      </c>
      <c r="C15" s="48">
        <f>+Grunnlagstall!C46</f>
        <v>167701</v>
      </c>
      <c r="D15" s="48">
        <f>+Grunnlagstall!D46</f>
        <v>112016</v>
      </c>
      <c r="E15" s="48">
        <f>+Grunnlagstall!E46</f>
        <v>54958.62016000002</v>
      </c>
      <c r="F15" s="48">
        <f>+Grunnlagstall!F46</f>
        <v>220882</v>
      </c>
      <c r="G15" s="48">
        <f>+Grunnlagstall!G46</f>
        <v>155176</v>
      </c>
      <c r="H15" s="48">
        <f>+Grunnlagstall!H46</f>
        <v>105879</v>
      </c>
      <c r="I15" s="48">
        <f>+Grunnlagstall!I46</f>
        <v>53553.157949999993</v>
      </c>
      <c r="J15" s="48">
        <f>+Grunnlagstall!J46</f>
        <v>192748.56657000002</v>
      </c>
      <c r="K15" s="48">
        <f>+Grunnlagstall!K46</f>
        <v>141336</v>
      </c>
      <c r="L15" s="48">
        <f>+Grunnlagstall!L46</f>
        <v>96620</v>
      </c>
      <c r="M15" s="48">
        <f>+Grunnlagstall!M46</f>
        <v>50218.960200000001</v>
      </c>
      <c r="N15" s="48">
        <f>+Grunnlagstall!N46</f>
        <v>192907</v>
      </c>
      <c r="O15" s="48">
        <f>+Grunnlagstall!O46</f>
        <v>144601</v>
      </c>
      <c r="P15" s="49">
        <f>+Grunnlagstall!P46</f>
        <v>102837</v>
      </c>
    </row>
    <row r="16" spans="1:16" x14ac:dyDescent="0.2">
      <c r="A16" s="47" t="s">
        <v>74</v>
      </c>
      <c r="B16" s="66" t="s">
        <v>126</v>
      </c>
      <c r="C16" s="50">
        <f t="shared" ref="C16:D16" si="6">+C15*365/C$5/C$6</f>
        <v>9.9407166416424358E-3</v>
      </c>
      <c r="D16" s="50">
        <f t="shared" si="6"/>
        <v>1.0032027492104799E-2</v>
      </c>
      <c r="E16" s="50">
        <f t="shared" ref="E16:K16" si="7">+E15*365/E$5/E$6</f>
        <v>9.8651542936520498E-3</v>
      </c>
      <c r="F16" s="50">
        <f t="shared" si="7"/>
        <v>9.9722244820950792E-3</v>
      </c>
      <c r="G16" s="50">
        <f t="shared" si="7"/>
        <v>9.3977851598403932E-3</v>
      </c>
      <c r="H16" s="50">
        <f t="shared" si="7"/>
        <v>9.6516856340960206E-3</v>
      </c>
      <c r="I16" s="50">
        <f t="shared" si="7"/>
        <v>9.7832376452400976E-3</v>
      </c>
      <c r="J16" s="50">
        <f t="shared" si="7"/>
        <v>8.9253430399495338E-3</v>
      </c>
      <c r="K16" s="50">
        <f t="shared" si="7"/>
        <v>8.800350246967464E-3</v>
      </c>
      <c r="L16" s="50">
        <f t="shared" ref="L16:P16" si="8">+L15*365/L$5/L$6</f>
        <v>9.1420957355838814E-3</v>
      </c>
      <c r="M16" s="50">
        <f t="shared" si="8"/>
        <v>9.6671962145563617E-3</v>
      </c>
      <c r="N16" s="50">
        <f t="shared" si="8"/>
        <v>9.6898374974263082E-3</v>
      </c>
      <c r="O16" s="50">
        <f t="shared" si="8"/>
        <v>9.8497834249080748E-3</v>
      </c>
      <c r="P16" s="51">
        <f t="shared" si="8"/>
        <v>1.0762047642881705E-2</v>
      </c>
    </row>
    <row r="17" spans="1:16" x14ac:dyDescent="0.2">
      <c r="A17" s="44"/>
      <c r="B17" s="64"/>
      <c r="C17" s="131"/>
      <c r="D17" s="131"/>
      <c r="E17" s="131"/>
      <c r="F17" s="42"/>
      <c r="G17" s="42"/>
      <c r="H17" s="42"/>
      <c r="I17" s="42"/>
      <c r="J17" s="42"/>
      <c r="K17" s="42"/>
      <c r="L17" s="42"/>
      <c r="M17" s="42"/>
      <c r="N17" s="42"/>
      <c r="O17" s="42"/>
      <c r="P17" s="43"/>
    </row>
    <row r="18" spans="1:16" x14ac:dyDescent="0.2">
      <c r="A18" s="44" t="s">
        <v>91</v>
      </c>
      <c r="B18" s="64" t="s">
        <v>124</v>
      </c>
      <c r="C18" s="45">
        <f>+Grunnlagstall!C46</f>
        <v>167701</v>
      </c>
      <c r="D18" s="45">
        <f>+Grunnlagstall!D46</f>
        <v>112016</v>
      </c>
      <c r="E18" s="45">
        <f>+Grunnlagstall!E46</f>
        <v>54958.62016000002</v>
      </c>
      <c r="F18" s="45">
        <f>+Grunnlagstall!F46</f>
        <v>220882</v>
      </c>
      <c r="G18" s="45">
        <f>+Grunnlagstall!G46</f>
        <v>155176</v>
      </c>
      <c r="H18" s="45">
        <f>+Grunnlagstall!H46</f>
        <v>105879</v>
      </c>
      <c r="I18" s="45">
        <f>+Grunnlagstall!I46</f>
        <v>53553.157949999993</v>
      </c>
      <c r="J18" s="45">
        <f>+Grunnlagstall!J46</f>
        <v>192748.56657000002</v>
      </c>
      <c r="K18" s="45">
        <f>+Grunnlagstall!K46</f>
        <v>141336</v>
      </c>
      <c r="L18" s="45">
        <f>+Grunnlagstall!L46</f>
        <v>96620</v>
      </c>
      <c r="M18" s="45">
        <f>+Grunnlagstall!M46</f>
        <v>50218.960200000001</v>
      </c>
      <c r="N18" s="45">
        <f>+Grunnlagstall!N46</f>
        <v>192907</v>
      </c>
      <c r="O18" s="45">
        <f>+Grunnlagstall!O46</f>
        <v>144601</v>
      </c>
      <c r="P18" s="46">
        <f>+Grunnlagstall!P46</f>
        <v>102837</v>
      </c>
    </row>
    <row r="19" spans="1:16" x14ac:dyDescent="0.2">
      <c r="A19" s="44" t="s">
        <v>192</v>
      </c>
      <c r="B19" s="64" t="s">
        <v>120</v>
      </c>
      <c r="C19" s="45">
        <f>+Grunnlagstall!C44</f>
        <v>410148</v>
      </c>
      <c r="D19" s="45">
        <f>+Grunnlagstall!D44</f>
        <v>268031</v>
      </c>
      <c r="E19" s="45">
        <f>+Grunnlagstall!E44</f>
        <v>133527.77151000011</v>
      </c>
      <c r="F19" s="45">
        <f>+Grunnlagstall!F44</f>
        <v>518569</v>
      </c>
      <c r="G19" s="45">
        <f>+Grunnlagstall!G44</f>
        <v>384705</v>
      </c>
      <c r="H19" s="45">
        <f>+Grunnlagstall!H44</f>
        <v>250532</v>
      </c>
      <c r="I19" s="45">
        <f>+Grunnlagstall!I44</f>
        <v>122912.47058000037</v>
      </c>
      <c r="J19" s="45">
        <f>+Grunnlagstall!J44</f>
        <v>417285.0513899934</v>
      </c>
      <c r="K19" s="45">
        <f>+Grunnlagstall!K44</f>
        <v>296851</v>
      </c>
      <c r="L19" s="45">
        <f>+Grunnlagstall!L44</f>
        <v>188386</v>
      </c>
      <c r="M19" s="45">
        <f>+Grunnlagstall!M44</f>
        <v>91273.909800000023</v>
      </c>
      <c r="N19" s="45">
        <f>+Grunnlagstall!N44</f>
        <v>346461</v>
      </c>
      <c r="O19" s="45">
        <f>+Grunnlagstall!O44</f>
        <v>253637</v>
      </c>
      <c r="P19" s="46">
        <f>+Grunnlagstall!P44</f>
        <v>162331</v>
      </c>
    </row>
    <row r="20" spans="1:16" x14ac:dyDescent="0.2">
      <c r="A20" s="44" t="s">
        <v>90</v>
      </c>
      <c r="B20" s="64" t="str">
        <f>+B12</f>
        <v>A5</v>
      </c>
      <c r="C20" s="45">
        <f>+Grunnlagstall!C45</f>
        <v>87659</v>
      </c>
      <c r="D20" s="45">
        <f>+Grunnlagstall!D45</f>
        <v>66846</v>
      </c>
      <c r="E20" s="45">
        <f>+Grunnlagstall!E45</f>
        <v>23851.284140000003</v>
      </c>
      <c r="F20" s="45">
        <f>+Grunnlagstall!F45</f>
        <v>115538</v>
      </c>
      <c r="G20" s="45">
        <f>+Grunnlagstall!G45</f>
        <v>94676</v>
      </c>
      <c r="H20" s="45">
        <f>+Grunnlagstall!H45</f>
        <v>74005</v>
      </c>
      <c r="I20" s="45">
        <f>+Grunnlagstall!I45</f>
        <v>14331.357110000004</v>
      </c>
      <c r="J20" s="45">
        <f>+Grunnlagstall!J45</f>
        <v>104104.36939000005</v>
      </c>
      <c r="K20" s="45">
        <f>+Grunnlagstall!K45</f>
        <v>84485</v>
      </c>
      <c r="L20" s="45">
        <f>+Grunnlagstall!L45</f>
        <v>68573</v>
      </c>
      <c r="M20" s="45">
        <f>+Grunnlagstall!M45</f>
        <v>19655.227310000009</v>
      </c>
      <c r="N20" s="45">
        <f>+Grunnlagstall!N45</f>
        <v>115554</v>
      </c>
      <c r="O20" s="45">
        <f>+Grunnlagstall!O45</f>
        <v>85212</v>
      </c>
      <c r="P20" s="46">
        <f>+Grunnlagstall!P45</f>
        <v>64587</v>
      </c>
    </row>
    <row r="21" spans="1:16" x14ac:dyDescent="0.2">
      <c r="A21" s="44" t="s">
        <v>113</v>
      </c>
      <c r="B21" s="67" t="s">
        <v>127</v>
      </c>
      <c r="C21" s="45">
        <f t="shared" ref="C21:D21" si="9">SUM(C19:C20)</f>
        <v>497807</v>
      </c>
      <c r="D21" s="45">
        <f t="shared" si="9"/>
        <v>334877</v>
      </c>
      <c r="E21" s="45">
        <f t="shared" ref="E21:K21" si="10">SUM(E19:E20)</f>
        <v>157379.05565000011</v>
      </c>
      <c r="F21" s="45">
        <f t="shared" si="10"/>
        <v>634107</v>
      </c>
      <c r="G21" s="45">
        <f t="shared" si="10"/>
        <v>479381</v>
      </c>
      <c r="H21" s="45">
        <f t="shared" si="10"/>
        <v>324537</v>
      </c>
      <c r="I21" s="45">
        <f t="shared" si="10"/>
        <v>137243.82769000038</v>
      </c>
      <c r="J21" s="45">
        <f t="shared" si="10"/>
        <v>521389.42077999347</v>
      </c>
      <c r="K21" s="45">
        <f t="shared" si="10"/>
        <v>381336</v>
      </c>
      <c r="L21" s="45">
        <f t="shared" ref="L21:P21" si="11">SUM(L19:L20)</f>
        <v>256959</v>
      </c>
      <c r="M21" s="45">
        <f t="shared" si="11"/>
        <v>110929.13711000004</v>
      </c>
      <c r="N21" s="45">
        <f t="shared" si="11"/>
        <v>462015</v>
      </c>
      <c r="O21" s="45">
        <f t="shared" si="11"/>
        <v>338849</v>
      </c>
      <c r="P21" s="46">
        <f t="shared" si="11"/>
        <v>226918</v>
      </c>
    </row>
    <row r="22" spans="1:16" x14ac:dyDescent="0.2">
      <c r="A22" s="44" t="s">
        <v>75</v>
      </c>
      <c r="B22" s="64" t="s">
        <v>128</v>
      </c>
      <c r="C22" s="52">
        <f t="shared" ref="C22:D22" si="12">+C18/C21</f>
        <v>0.33687955372262746</v>
      </c>
      <c r="D22" s="52">
        <f t="shared" si="12"/>
        <v>0.33449893543002357</v>
      </c>
      <c r="E22" s="52">
        <f t="shared" ref="E22:K22" si="13">+E18/E21</f>
        <v>0.34921178001108422</v>
      </c>
      <c r="F22" s="52">
        <f t="shared" si="13"/>
        <v>0.34833553327750677</v>
      </c>
      <c r="G22" s="52">
        <f t="shared" si="13"/>
        <v>0.32370077245447776</v>
      </c>
      <c r="H22" s="52">
        <f t="shared" si="13"/>
        <v>0.32624631397960785</v>
      </c>
      <c r="I22" s="52">
        <f t="shared" si="13"/>
        <v>0.39020449117000172</v>
      </c>
      <c r="J22" s="52">
        <f t="shared" si="13"/>
        <v>0.36968254223810304</v>
      </c>
      <c r="K22" s="52">
        <f t="shared" si="13"/>
        <v>0.37063377179180568</v>
      </c>
      <c r="L22" s="52">
        <f t="shared" ref="L22:P22" si="14">+L18/L21</f>
        <v>0.37601329394961841</v>
      </c>
      <c r="M22" s="52">
        <f t="shared" si="14"/>
        <v>0.45271207825408083</v>
      </c>
      <c r="N22" s="52">
        <f t="shared" si="14"/>
        <v>0.41753406274688049</v>
      </c>
      <c r="O22" s="52">
        <f t="shared" si="14"/>
        <v>0.42674170500724512</v>
      </c>
      <c r="P22" s="53">
        <f t="shared" si="14"/>
        <v>0.4531901391692153</v>
      </c>
    </row>
    <row r="23" spans="1:16" x14ac:dyDescent="0.2">
      <c r="A23" s="44"/>
      <c r="B23" s="64"/>
      <c r="C23" s="131"/>
      <c r="D23" s="131"/>
      <c r="E23" s="131"/>
      <c r="F23" s="42"/>
      <c r="G23" s="42"/>
      <c r="H23" s="42"/>
      <c r="I23" s="42"/>
      <c r="J23" s="42"/>
      <c r="K23" s="42"/>
      <c r="L23" s="42"/>
      <c r="M23" s="42"/>
      <c r="N23" s="42"/>
      <c r="O23" s="42"/>
      <c r="P23" s="43"/>
    </row>
    <row r="24" spans="1:16" x14ac:dyDescent="0.2">
      <c r="A24" s="70" t="s">
        <v>198</v>
      </c>
      <c r="B24" s="65" t="s">
        <v>124</v>
      </c>
      <c r="C24" s="48">
        <f>+Grunnlagstall!C46</f>
        <v>167701</v>
      </c>
      <c r="D24" s="48">
        <f>+Grunnlagstall!D46</f>
        <v>112016</v>
      </c>
      <c r="E24" s="48">
        <f>+Grunnlagstall!E46</f>
        <v>54958.62016000002</v>
      </c>
      <c r="F24" s="48">
        <f>+Grunnlagstall!F46</f>
        <v>220882</v>
      </c>
      <c r="G24" s="48">
        <f>+Grunnlagstall!G46</f>
        <v>155176</v>
      </c>
      <c r="H24" s="48">
        <f>+Grunnlagstall!H46</f>
        <v>105879</v>
      </c>
      <c r="I24" s="48">
        <f>+Grunnlagstall!I46</f>
        <v>53553.157949999993</v>
      </c>
      <c r="J24" s="48">
        <f>+Grunnlagstall!J46</f>
        <v>192748.56657000002</v>
      </c>
      <c r="K24" s="48">
        <f>+Grunnlagstall!K46</f>
        <v>141336</v>
      </c>
      <c r="L24" s="48">
        <f>+Grunnlagstall!L46</f>
        <v>96620</v>
      </c>
      <c r="M24" s="48">
        <f>+Grunnlagstall!M46</f>
        <v>50218.960200000001</v>
      </c>
      <c r="N24" s="48">
        <f>+Grunnlagstall!N46</f>
        <v>192907</v>
      </c>
      <c r="O24" s="48">
        <f>+Grunnlagstall!O46</f>
        <v>144601</v>
      </c>
      <c r="P24" s="49">
        <f>+Grunnlagstall!P46</f>
        <v>102837</v>
      </c>
    </row>
    <row r="25" spans="1:16" x14ac:dyDescent="0.2">
      <c r="A25" s="70" t="s">
        <v>192</v>
      </c>
      <c r="B25" s="65" t="s">
        <v>120</v>
      </c>
      <c r="C25" s="48">
        <f>+Grunnlagstall!C44</f>
        <v>410148</v>
      </c>
      <c r="D25" s="48">
        <f>+Grunnlagstall!D44</f>
        <v>268031</v>
      </c>
      <c r="E25" s="48">
        <f>+Grunnlagstall!E44</f>
        <v>133527.77151000011</v>
      </c>
      <c r="F25" s="48">
        <f>+Grunnlagstall!F44</f>
        <v>518569</v>
      </c>
      <c r="G25" s="48">
        <f>+Grunnlagstall!G44</f>
        <v>384705</v>
      </c>
      <c r="H25" s="48">
        <f>+Grunnlagstall!H44</f>
        <v>250532</v>
      </c>
      <c r="I25" s="48">
        <f>+Grunnlagstall!I44</f>
        <v>122912.47058000037</v>
      </c>
      <c r="J25" s="48">
        <f>+Grunnlagstall!J44</f>
        <v>417285.0513899934</v>
      </c>
      <c r="K25" s="48">
        <f>+Grunnlagstall!K44</f>
        <v>296851</v>
      </c>
      <c r="L25" s="48">
        <f>+Grunnlagstall!L44</f>
        <v>188386</v>
      </c>
      <c r="M25" s="48">
        <f>+Grunnlagstall!M44</f>
        <v>91273.909800000023</v>
      </c>
      <c r="N25" s="48">
        <f>+Grunnlagstall!N44</f>
        <v>346461</v>
      </c>
      <c r="O25" s="48">
        <f>+Grunnlagstall!O44</f>
        <v>253637</v>
      </c>
      <c r="P25" s="49">
        <f>+Grunnlagstall!P44</f>
        <v>162331</v>
      </c>
    </row>
    <row r="26" spans="1:16" x14ac:dyDescent="0.2">
      <c r="A26" s="70" t="s">
        <v>199</v>
      </c>
      <c r="B26" s="65" t="s">
        <v>123</v>
      </c>
      <c r="C26" s="48">
        <f>+Grunnlagstall!C45</f>
        <v>87659</v>
      </c>
      <c r="D26" s="48">
        <f>+Grunnlagstall!D45</f>
        <v>66846</v>
      </c>
      <c r="E26" s="48">
        <f>+Grunnlagstall!E45</f>
        <v>23851.284140000003</v>
      </c>
      <c r="F26" s="48">
        <f>+Grunnlagstall!F45</f>
        <v>115538</v>
      </c>
      <c r="G26" s="48">
        <f>+Grunnlagstall!G45</f>
        <v>94676</v>
      </c>
      <c r="H26" s="48">
        <f>+Grunnlagstall!H45</f>
        <v>74005</v>
      </c>
      <c r="I26" s="48">
        <f>+Grunnlagstall!I45</f>
        <v>14331.357110000004</v>
      </c>
      <c r="J26" s="48">
        <f>+Grunnlagstall!J45</f>
        <v>104104.36939000005</v>
      </c>
      <c r="K26" s="48">
        <f>+Grunnlagstall!K45</f>
        <v>84485</v>
      </c>
      <c r="L26" s="48">
        <f>+Grunnlagstall!L45</f>
        <v>68573</v>
      </c>
      <c r="M26" s="48">
        <f>+Grunnlagstall!M45</f>
        <v>19655.227310000009</v>
      </c>
      <c r="N26" s="48">
        <f>+Grunnlagstall!N45</f>
        <v>115554</v>
      </c>
      <c r="O26" s="48">
        <f>+Grunnlagstall!O45</f>
        <v>85212</v>
      </c>
      <c r="P26" s="49">
        <f>+Grunnlagstall!P45</f>
        <v>64587</v>
      </c>
    </row>
    <row r="27" spans="1:16" x14ac:dyDescent="0.2">
      <c r="A27" s="70" t="str">
        <f>+Grunnlagstall!A13</f>
        <v xml:space="preserve">Netto verdiendring og gevinst(+)/tap(-) på valuta og verdipapirer </v>
      </c>
      <c r="B27" s="66" t="s">
        <v>129</v>
      </c>
      <c r="C27" s="48">
        <f>+Grunnlagstall!C55</f>
        <v>2456</v>
      </c>
      <c r="D27" s="48">
        <f>+Grunnlagstall!D55</f>
        <v>5594</v>
      </c>
      <c r="E27" s="48">
        <f>+Grunnlagstall!E55</f>
        <v>4390</v>
      </c>
      <c r="F27" s="48">
        <f>+Grunnlagstall!F55</f>
        <v>861</v>
      </c>
      <c r="G27" s="48">
        <f>+Grunnlagstall!G55</f>
        <v>3171</v>
      </c>
      <c r="H27" s="48">
        <f>+Grunnlagstall!H55</f>
        <v>1000</v>
      </c>
      <c r="I27" s="48">
        <f>+Grunnlagstall!I55</f>
        <v>-4618</v>
      </c>
      <c r="J27" s="48">
        <f>+Grunnlagstall!J55</f>
        <v>-17128</v>
      </c>
      <c r="K27" s="48">
        <f>+Grunnlagstall!K55</f>
        <v>-13405</v>
      </c>
      <c r="L27" s="48">
        <f>+Grunnlagstall!L55</f>
        <v>-9146</v>
      </c>
      <c r="M27" s="48">
        <f>+Grunnlagstall!M55</f>
        <v>-1312</v>
      </c>
      <c r="N27" s="48">
        <f>+Grunnlagstall!N55</f>
        <v>1142</v>
      </c>
      <c r="O27" s="48">
        <f>+Grunnlagstall!O55</f>
        <v>2002</v>
      </c>
      <c r="P27" s="49">
        <f>+Grunnlagstall!P55</f>
        <v>1548</v>
      </c>
    </row>
    <row r="28" spans="1:16" x14ac:dyDescent="0.2">
      <c r="A28" s="70" t="s">
        <v>114</v>
      </c>
      <c r="B28" s="66" t="s">
        <v>132</v>
      </c>
      <c r="C28" s="48">
        <f t="shared" ref="C28:D28" si="15">+C25+C26-C27</f>
        <v>495351</v>
      </c>
      <c r="D28" s="48">
        <f t="shared" si="15"/>
        <v>329283</v>
      </c>
      <c r="E28" s="48">
        <f t="shared" ref="E28:K28" si="16">+E25+E26-E27</f>
        <v>152989.05565000011</v>
      </c>
      <c r="F28" s="48">
        <f t="shared" si="16"/>
        <v>633246</v>
      </c>
      <c r="G28" s="48">
        <f t="shared" si="16"/>
        <v>476210</v>
      </c>
      <c r="H28" s="48">
        <f t="shared" si="16"/>
        <v>323537</v>
      </c>
      <c r="I28" s="48">
        <f t="shared" si="16"/>
        <v>141861.82769000038</v>
      </c>
      <c r="J28" s="48">
        <f t="shared" si="16"/>
        <v>538517.42077999352</v>
      </c>
      <c r="K28" s="48">
        <f t="shared" si="16"/>
        <v>394741</v>
      </c>
      <c r="L28" s="48">
        <f t="shared" ref="L28:P28" si="17">+L25+L26-L27</f>
        <v>266105</v>
      </c>
      <c r="M28" s="48">
        <f t="shared" si="17"/>
        <v>112241.13711000004</v>
      </c>
      <c r="N28" s="48">
        <f t="shared" si="17"/>
        <v>460873</v>
      </c>
      <c r="O28" s="48">
        <f t="shared" si="17"/>
        <v>336847</v>
      </c>
      <c r="P28" s="49">
        <f t="shared" si="17"/>
        <v>225370</v>
      </c>
    </row>
    <row r="29" spans="1:16" x14ac:dyDescent="0.2">
      <c r="A29" s="70" t="s">
        <v>76</v>
      </c>
      <c r="B29" s="65" t="s">
        <v>130</v>
      </c>
      <c r="C29" s="50">
        <f t="shared" ref="C29:D29" si="18">+C24/C28</f>
        <v>0.33854983637864866</v>
      </c>
      <c r="D29" s="50">
        <f t="shared" si="18"/>
        <v>0.34018154596502098</v>
      </c>
      <c r="E29" s="50">
        <f t="shared" ref="E29:K29" si="19">+E24/E28</f>
        <v>0.3592323642138906</v>
      </c>
      <c r="F29" s="50">
        <f t="shared" si="19"/>
        <v>0.34880915157774389</v>
      </c>
      <c r="G29" s="50">
        <f t="shared" si="19"/>
        <v>0.32585623989416435</v>
      </c>
      <c r="H29" s="50">
        <f t="shared" si="19"/>
        <v>0.32725468802640811</v>
      </c>
      <c r="I29" s="50">
        <f t="shared" si="19"/>
        <v>0.37750224159684126</v>
      </c>
      <c r="J29" s="50">
        <f t="shared" si="19"/>
        <v>0.35792447770922853</v>
      </c>
      <c r="K29" s="50">
        <f t="shared" si="19"/>
        <v>0.35804742856708577</v>
      </c>
      <c r="L29" s="50">
        <f t="shared" ref="L29:P29" si="20">+L24/L28</f>
        <v>0.36308975780237124</v>
      </c>
      <c r="M29" s="50">
        <f t="shared" si="20"/>
        <v>0.4474202729324076</v>
      </c>
      <c r="N29" s="50">
        <f t="shared" si="20"/>
        <v>0.4185686729315885</v>
      </c>
      <c r="O29" s="50">
        <f t="shared" si="20"/>
        <v>0.42927798080434143</v>
      </c>
      <c r="P29" s="51">
        <f t="shared" si="20"/>
        <v>0.45630296845187912</v>
      </c>
    </row>
    <row r="30" spans="1:16" x14ac:dyDescent="0.2">
      <c r="A30" s="44"/>
      <c r="B30" s="64"/>
      <c r="C30" s="131"/>
      <c r="D30" s="131"/>
      <c r="E30" s="131"/>
      <c r="F30" s="42"/>
      <c r="G30" s="42"/>
      <c r="H30" s="42"/>
      <c r="I30" s="42"/>
      <c r="J30" s="42"/>
      <c r="K30" s="42"/>
      <c r="L30" s="42"/>
      <c r="M30" s="42"/>
      <c r="N30" s="42"/>
      <c r="O30" s="42"/>
      <c r="P30" s="43"/>
    </row>
    <row r="31" spans="1:16" x14ac:dyDescent="0.2">
      <c r="A31" s="44" t="str">
        <f>+Grunnlagstall!A6</f>
        <v>Driftsresultat før tap og nedskrivninger</v>
      </c>
      <c r="B31" s="64" t="s">
        <v>133</v>
      </c>
      <c r="C31" s="45">
        <f>+Grunnlagstall!C47</f>
        <v>330106</v>
      </c>
      <c r="D31" s="45">
        <f>+Grunnlagstall!D47</f>
        <v>222862</v>
      </c>
      <c r="E31" s="45">
        <f>+Grunnlagstall!E47</f>
        <v>102420.43549000009</v>
      </c>
      <c r="F31" s="45">
        <f>+Grunnlagstall!F47</f>
        <v>413226</v>
      </c>
      <c r="G31" s="45">
        <f>+Grunnlagstall!G47</f>
        <v>324205</v>
      </c>
      <c r="H31" s="45">
        <f>+Grunnlagstall!H47</f>
        <v>218658</v>
      </c>
      <c r="I31" s="45">
        <f>+Grunnlagstall!I47</f>
        <v>83690.66974000039</v>
      </c>
      <c r="J31" s="45">
        <f>+Grunnlagstall!J47</f>
        <v>328640.85420999344</v>
      </c>
      <c r="K31" s="45">
        <f>+Grunnlagstall!K47</f>
        <v>239999</v>
      </c>
      <c r="L31" s="45">
        <f>+Grunnlagstall!L47</f>
        <v>160339</v>
      </c>
      <c r="M31" s="45">
        <f>+Grunnlagstall!M47</f>
        <v>60710.176910000038</v>
      </c>
      <c r="N31" s="45">
        <f>+Grunnlagstall!N47</f>
        <v>269109</v>
      </c>
      <c r="O31" s="45">
        <f>+Grunnlagstall!O47</f>
        <v>194247</v>
      </c>
      <c r="P31" s="46">
        <f>+Grunnlagstall!P47</f>
        <v>124081</v>
      </c>
    </row>
    <row r="32" spans="1:16" x14ac:dyDescent="0.2">
      <c r="A32" s="44" t="s">
        <v>131</v>
      </c>
      <c r="B32" s="67" t="s">
        <v>134</v>
      </c>
      <c r="C32" s="52">
        <f>+C31*366/C$5/C$6</f>
        <v>1.9621114911877208E-2</v>
      </c>
      <c r="D32" s="52">
        <f>+D31*366/D$5/D$6</f>
        <v>2.0013954029219853E-2</v>
      </c>
      <c r="E32" s="52">
        <f>+E31*366/E$5/E$6</f>
        <v>1.8434989762757013E-2</v>
      </c>
      <c r="F32" s="52">
        <f t="shared" ref="F32:K32" si="21">+F31*365/F$5/F$6</f>
        <v>1.8656035502386894E-2</v>
      </c>
      <c r="G32" s="52">
        <f t="shared" si="21"/>
        <v>1.963453715617141E-2</v>
      </c>
      <c r="H32" s="52">
        <f t="shared" si="21"/>
        <v>1.9932359366637082E-2</v>
      </c>
      <c r="I32" s="52">
        <f t="shared" si="21"/>
        <v>1.5288840884419369E-2</v>
      </c>
      <c r="J32" s="52">
        <f t="shared" si="21"/>
        <v>1.5217920490739311E-2</v>
      </c>
      <c r="K32" s="52">
        <f t="shared" si="21"/>
        <v>1.4943646763188037E-2</v>
      </c>
      <c r="L32" s="52">
        <f t="shared" ref="L32:P32" si="22">+L31*365/L$5/L$6</f>
        <v>1.517112904313583E-2</v>
      </c>
      <c r="M32" s="52">
        <f t="shared" si="22"/>
        <v>1.1686765119629048E-2</v>
      </c>
      <c r="N32" s="52">
        <f t="shared" si="22"/>
        <v>1.351751092026156E-2</v>
      </c>
      <c r="O32" s="52">
        <f t="shared" si="22"/>
        <v>1.323151901396338E-2</v>
      </c>
      <c r="P32" s="53">
        <f t="shared" si="22"/>
        <v>1.2985264385157139E-2</v>
      </c>
    </row>
    <row r="33" spans="1:16" x14ac:dyDescent="0.2">
      <c r="A33" s="44"/>
      <c r="B33" s="64"/>
      <c r="C33" s="131"/>
      <c r="D33" s="131"/>
      <c r="E33" s="131"/>
      <c r="F33" s="42"/>
      <c r="G33" s="42"/>
      <c r="H33" s="42"/>
      <c r="I33" s="42"/>
      <c r="J33" s="42"/>
      <c r="K33" s="42"/>
      <c r="L33" s="42"/>
      <c r="M33" s="42"/>
      <c r="N33" s="42"/>
      <c r="O33" s="42"/>
      <c r="P33" s="43"/>
    </row>
    <row r="34" spans="1:16" x14ac:dyDescent="0.2">
      <c r="A34" s="70" t="str">
        <f>+Grunnlagstall!A10</f>
        <v>Resultat av ordinær drift etter skatt</v>
      </c>
      <c r="B34" s="65" t="s">
        <v>135</v>
      </c>
      <c r="C34" s="48">
        <f>+Grunnlagstall!C51</f>
        <v>229601</v>
      </c>
      <c r="D34" s="48">
        <f>+Grunnlagstall!D51</f>
        <v>161582</v>
      </c>
      <c r="E34" s="48">
        <f>+Grunnlagstall!E51</f>
        <v>71126.520560000092</v>
      </c>
      <c r="F34" s="48">
        <f>+Grunnlagstall!F51</f>
        <v>292357</v>
      </c>
      <c r="G34" s="48">
        <f>+Grunnlagstall!G51</f>
        <v>231773</v>
      </c>
      <c r="H34" s="48">
        <f>+Grunnlagstall!H51</f>
        <v>161238</v>
      </c>
      <c r="I34" s="48">
        <f>+Grunnlagstall!I51</f>
        <v>58571.757180000408</v>
      </c>
      <c r="J34" s="48">
        <f>+Grunnlagstall!J51</f>
        <v>244619</v>
      </c>
      <c r="K34" s="48">
        <f>+Grunnlagstall!K51</f>
        <v>183475</v>
      </c>
      <c r="L34" s="48">
        <f>+Grunnlagstall!L51</f>
        <v>125727</v>
      </c>
      <c r="M34" s="48">
        <f>+Grunnlagstall!M51</f>
        <v>42262.246000000057</v>
      </c>
      <c r="N34" s="48">
        <f>+Grunnlagstall!N51</f>
        <v>209500</v>
      </c>
      <c r="O34" s="48">
        <f>+Grunnlagstall!O51</f>
        <v>154821</v>
      </c>
      <c r="P34" s="49">
        <f>+Grunnlagstall!P51</f>
        <v>100545</v>
      </c>
    </row>
    <row r="35" spans="1:16" x14ac:dyDescent="0.2">
      <c r="A35" s="70" t="s">
        <v>136</v>
      </c>
      <c r="B35" s="65" t="s">
        <v>137</v>
      </c>
      <c r="C35" s="48">
        <f>+Grunnlagstall!C56</f>
        <v>7329</v>
      </c>
      <c r="D35" s="48">
        <f>+Grunnlagstall!D56</f>
        <v>5381</v>
      </c>
      <c r="E35" s="48">
        <f>+Grunnlagstall!E56</f>
        <v>2596</v>
      </c>
      <c r="F35" s="48">
        <f>+Grunnlagstall!F56</f>
        <v>9646</v>
      </c>
      <c r="G35" s="48">
        <f>+Grunnlagstall!G56</f>
        <v>6953</v>
      </c>
      <c r="H35" s="48">
        <f>+Grunnlagstall!H56</f>
        <v>4526</v>
      </c>
      <c r="I35" s="48">
        <f>+Grunnlagstall!I56</f>
        <v>2174</v>
      </c>
      <c r="J35" s="48">
        <f>+Grunnlagstall!J56</f>
        <v>6839</v>
      </c>
      <c r="K35" s="48">
        <f>+Grunnlagstall!K56</f>
        <v>4672</v>
      </c>
      <c r="L35" s="48">
        <f>+Grunnlagstall!L56</f>
        <v>2758</v>
      </c>
      <c r="M35" s="48">
        <f>+Grunnlagstall!M56</f>
        <v>1437</v>
      </c>
      <c r="N35" s="48">
        <f>+Grunnlagstall!N56</f>
        <v>5533</v>
      </c>
      <c r="O35" s="48">
        <f>+Grunnlagstall!O56</f>
        <v>4073</v>
      </c>
      <c r="P35" s="49">
        <f>+Grunnlagstall!P56</f>
        <v>2730</v>
      </c>
    </row>
    <row r="36" spans="1:16" x14ac:dyDescent="0.2">
      <c r="A36" s="70" t="s">
        <v>138</v>
      </c>
      <c r="B36" s="66" t="s">
        <v>140</v>
      </c>
      <c r="C36" s="48">
        <f t="shared" ref="C36:D36" si="23">+C34-C35</f>
        <v>222272</v>
      </c>
      <c r="D36" s="48">
        <f t="shared" si="23"/>
        <v>156201</v>
      </c>
      <c r="E36" s="48">
        <f t="shared" ref="E36:K36" si="24">+E34-E35</f>
        <v>68530.520560000092</v>
      </c>
      <c r="F36" s="48">
        <f t="shared" si="24"/>
        <v>282711</v>
      </c>
      <c r="G36" s="48">
        <f t="shared" si="24"/>
        <v>224820</v>
      </c>
      <c r="H36" s="48">
        <f t="shared" si="24"/>
        <v>156712</v>
      </c>
      <c r="I36" s="48">
        <f t="shared" si="24"/>
        <v>56397.757180000408</v>
      </c>
      <c r="J36" s="48">
        <f t="shared" si="24"/>
        <v>237780</v>
      </c>
      <c r="K36" s="48">
        <f t="shared" si="24"/>
        <v>178803</v>
      </c>
      <c r="L36" s="48">
        <f t="shared" ref="L36:P36" si="25">+L34-L35</f>
        <v>122969</v>
      </c>
      <c r="M36" s="48">
        <f t="shared" si="25"/>
        <v>40825.246000000057</v>
      </c>
      <c r="N36" s="48">
        <f>+N34-N35</f>
        <v>203967</v>
      </c>
      <c r="O36" s="48">
        <f t="shared" si="25"/>
        <v>150748</v>
      </c>
      <c r="P36" s="49">
        <f t="shared" si="25"/>
        <v>97815</v>
      </c>
    </row>
    <row r="37" spans="1:16" x14ac:dyDescent="0.2">
      <c r="A37" s="70" t="s">
        <v>105</v>
      </c>
      <c r="B37" s="65" t="s">
        <v>141</v>
      </c>
      <c r="C37" s="48">
        <f>+Grunnlagstall!C37</f>
        <v>2722977</v>
      </c>
      <c r="D37" s="48">
        <f>+Grunnlagstall!D37</f>
        <v>2694138</v>
      </c>
      <c r="E37" s="48">
        <f>+Grunnlagstall!E37</f>
        <v>2705464</v>
      </c>
      <c r="F37" s="48">
        <f>+Grunnlagstall!F37</f>
        <v>2572749</v>
      </c>
      <c r="G37" s="48">
        <f>+Grunnlagstall!G37</f>
        <v>2536807</v>
      </c>
      <c r="H37" s="48">
        <f>+Grunnlagstall!H37</f>
        <v>2516935</v>
      </c>
      <c r="I37" s="48">
        <f>+Grunnlagstall!I37</f>
        <v>2502892</v>
      </c>
      <c r="J37" s="48">
        <f>+Grunnlagstall!J37</f>
        <v>2319240</v>
      </c>
      <c r="K37" s="48">
        <f>+Grunnlagstall!K37</f>
        <v>2284650</v>
      </c>
      <c r="L37" s="48">
        <f>+Grunnlagstall!L37</f>
        <v>2258010</v>
      </c>
      <c r="M37" s="48">
        <f>+Grunnlagstall!M37</f>
        <v>2237474</v>
      </c>
      <c r="N37" s="48">
        <f>+Grunnlagstall!N37</f>
        <v>2093889</v>
      </c>
      <c r="O37" s="48">
        <f>+Grunnlagstall!O37</f>
        <v>2069737</v>
      </c>
      <c r="P37" s="49">
        <f>+Grunnlagstall!P37</f>
        <v>2050005</v>
      </c>
    </row>
    <row r="38" spans="1:16" x14ac:dyDescent="0.2">
      <c r="A38" s="70" t="s">
        <v>139</v>
      </c>
      <c r="B38" s="65" t="s">
        <v>142</v>
      </c>
      <c r="C38" s="48">
        <f>+Grunnlagstall!C32</f>
        <v>120176</v>
      </c>
      <c r="D38" s="48">
        <f>+Grunnlagstall!D32</f>
        <v>130431</v>
      </c>
      <c r="E38" s="48">
        <f>+Grunnlagstall!E32</f>
        <v>125000</v>
      </c>
      <c r="F38" s="48">
        <f>+Grunnlagstall!F32</f>
        <v>125000</v>
      </c>
      <c r="G38" s="48">
        <f>+Grunnlagstall!G32</f>
        <v>125000</v>
      </c>
      <c r="H38" s="48">
        <f>+Grunnlagstall!H32</f>
        <v>125000</v>
      </c>
      <c r="I38" s="48">
        <f>+Grunnlagstall!I32</f>
        <v>125000</v>
      </c>
      <c r="J38" s="48">
        <f>+Grunnlagstall!J32</f>
        <v>125000</v>
      </c>
      <c r="K38" s="48">
        <f>+Grunnlagstall!K32</f>
        <v>125000</v>
      </c>
      <c r="L38" s="48">
        <f>+Grunnlagstall!L32</f>
        <v>125000</v>
      </c>
      <c r="M38" s="48">
        <f>+Grunnlagstall!M32</f>
        <v>125000</v>
      </c>
      <c r="N38" s="48">
        <f>+Grunnlagstall!N32</f>
        <v>141400</v>
      </c>
      <c r="O38" s="48">
        <f>+Grunnlagstall!O32</f>
        <v>143000</v>
      </c>
      <c r="P38" s="48">
        <f>+Grunnlagstall!P32</f>
        <v>143000</v>
      </c>
    </row>
    <row r="39" spans="1:16" x14ac:dyDescent="0.2">
      <c r="A39" s="70" t="s">
        <v>143</v>
      </c>
      <c r="B39" s="66" t="s">
        <v>144</v>
      </c>
      <c r="C39" s="48">
        <f t="shared" ref="C39:D39" si="26">+C37-C38</f>
        <v>2602801</v>
      </c>
      <c r="D39" s="48">
        <f t="shared" si="26"/>
        <v>2563707</v>
      </c>
      <c r="E39" s="48">
        <f t="shared" ref="E39:K39" si="27">+E37-E38</f>
        <v>2580464</v>
      </c>
      <c r="F39" s="48">
        <f t="shared" si="27"/>
        <v>2447749</v>
      </c>
      <c r="G39" s="48">
        <f t="shared" si="27"/>
        <v>2411807</v>
      </c>
      <c r="H39" s="48">
        <f t="shared" si="27"/>
        <v>2391935</v>
      </c>
      <c r="I39" s="48">
        <f t="shared" si="27"/>
        <v>2377892</v>
      </c>
      <c r="J39" s="48">
        <f t="shared" si="27"/>
        <v>2194240</v>
      </c>
      <c r="K39" s="48">
        <f t="shared" si="27"/>
        <v>2159650</v>
      </c>
      <c r="L39" s="48">
        <f t="shared" ref="L39:P39" si="28">+L37-L38</f>
        <v>2133010</v>
      </c>
      <c r="M39" s="48">
        <f t="shared" si="28"/>
        <v>2112474</v>
      </c>
      <c r="N39" s="48">
        <f t="shared" si="28"/>
        <v>1952489</v>
      </c>
      <c r="O39" s="48">
        <f t="shared" si="28"/>
        <v>1926737</v>
      </c>
      <c r="P39" s="49">
        <f t="shared" si="28"/>
        <v>1907005</v>
      </c>
    </row>
    <row r="40" spans="1:16" x14ac:dyDescent="0.2">
      <c r="A40" s="70" t="s">
        <v>77</v>
      </c>
      <c r="B40" s="66" t="s">
        <v>145</v>
      </c>
      <c r="C40" s="71">
        <f>+(C36*366/C5)/C39</f>
        <v>0.11407075471868759</v>
      </c>
      <c r="D40" s="71">
        <f>+(D36*366/D5)/D39</f>
        <v>0.12252511480660407</v>
      </c>
      <c r="E40" s="71">
        <f>+(E36*366/E5)/E39</f>
        <v>0.10681344422050969</v>
      </c>
      <c r="F40" s="71">
        <f t="shared" ref="F40:K40" si="29">+(F36*365/F5)/F39</f>
        <v>0.11549836196440076</v>
      </c>
      <c r="G40" s="71">
        <f t="shared" si="29"/>
        <v>0.12463000417675066</v>
      </c>
      <c r="H40" s="71">
        <f t="shared" si="29"/>
        <v>0.13211957534970156</v>
      </c>
      <c r="I40" s="71">
        <f t="shared" si="29"/>
        <v>9.6187815700723114E-2</v>
      </c>
      <c r="J40" s="71">
        <f t="shared" si="29"/>
        <v>0.10836553886539303</v>
      </c>
      <c r="K40" s="71">
        <f t="shared" si="29"/>
        <v>0.11069337904010189</v>
      </c>
      <c r="L40" s="71">
        <f t="shared" ref="L40:P40" si="30">+(L36*365/L5)/L39</f>
        <v>0.11625644522106998</v>
      </c>
      <c r="M40" s="71">
        <f t="shared" si="30"/>
        <v>7.8376847820244164E-2</v>
      </c>
      <c r="N40" s="71">
        <f t="shared" si="30"/>
        <v>0.10446512118634214</v>
      </c>
      <c r="O40" s="71">
        <f t="shared" si="30"/>
        <v>0.10460666079985168</v>
      </c>
      <c r="P40" s="72">
        <f t="shared" si="30"/>
        <v>0.10343509487071227</v>
      </c>
    </row>
    <row r="41" spans="1:16" x14ac:dyDescent="0.2">
      <c r="A41" s="44"/>
      <c r="B41" s="64"/>
      <c r="C41" s="131"/>
      <c r="D41" s="131"/>
      <c r="E41" s="131"/>
      <c r="F41" s="42"/>
      <c r="G41" s="42"/>
      <c r="H41" s="42"/>
      <c r="I41" s="42"/>
      <c r="J41" s="42"/>
      <c r="K41" s="42"/>
      <c r="L41" s="42"/>
      <c r="M41" s="42"/>
      <c r="N41" s="42"/>
      <c r="O41" s="42"/>
      <c r="P41" s="43"/>
    </row>
    <row r="42" spans="1:16" x14ac:dyDescent="0.2">
      <c r="A42" s="41" t="s">
        <v>96</v>
      </c>
      <c r="B42" s="64" t="s">
        <v>135</v>
      </c>
      <c r="C42" s="45">
        <f>+Grunnlagstall!C51</f>
        <v>229601</v>
      </c>
      <c r="D42" s="45">
        <f>+Grunnlagstall!D51</f>
        <v>161582</v>
      </c>
      <c r="E42" s="45">
        <f>+Grunnlagstall!E51</f>
        <v>71126.520560000092</v>
      </c>
      <c r="F42" s="45">
        <f>+Grunnlagstall!F51</f>
        <v>292357</v>
      </c>
      <c r="G42" s="45">
        <f>+Grunnlagstall!G51</f>
        <v>231773</v>
      </c>
      <c r="H42" s="45">
        <f>+Grunnlagstall!H51</f>
        <v>161238</v>
      </c>
      <c r="I42" s="45">
        <f>+Grunnlagstall!I51</f>
        <v>58571.757180000408</v>
      </c>
      <c r="J42" s="45">
        <f>+Grunnlagstall!J51</f>
        <v>244619</v>
      </c>
      <c r="K42" s="45">
        <f>+Grunnlagstall!K51</f>
        <v>183475</v>
      </c>
      <c r="L42" s="45">
        <f>+Grunnlagstall!L51</f>
        <v>125727</v>
      </c>
      <c r="M42" s="45">
        <f>+Grunnlagstall!M51</f>
        <v>42262.246000000057</v>
      </c>
      <c r="N42" s="45">
        <f>+Grunnlagstall!N51</f>
        <v>209500</v>
      </c>
      <c r="O42" s="45">
        <f>+Grunnlagstall!O51</f>
        <v>154821</v>
      </c>
      <c r="P42" s="46">
        <f>+Grunnlagstall!P51</f>
        <v>100545</v>
      </c>
    </row>
    <row r="43" spans="1:16" x14ac:dyDescent="0.2">
      <c r="A43" s="41" t="s">
        <v>105</v>
      </c>
      <c r="B43" s="64" t="s">
        <v>141</v>
      </c>
      <c r="C43" s="45">
        <f>+Grunnlagstall!C37</f>
        <v>2722977</v>
      </c>
      <c r="D43" s="45">
        <f>+Grunnlagstall!D37</f>
        <v>2694138</v>
      </c>
      <c r="E43" s="45">
        <f>+Grunnlagstall!E37</f>
        <v>2705464</v>
      </c>
      <c r="F43" s="45">
        <f>+Grunnlagstall!F37</f>
        <v>2572749</v>
      </c>
      <c r="G43" s="45">
        <f>+Grunnlagstall!G37</f>
        <v>2536807</v>
      </c>
      <c r="H43" s="45">
        <f>+Grunnlagstall!H37</f>
        <v>2516935</v>
      </c>
      <c r="I43" s="45">
        <f>+Grunnlagstall!I37</f>
        <v>2502892</v>
      </c>
      <c r="J43" s="45">
        <f>+Grunnlagstall!J37</f>
        <v>2319240</v>
      </c>
      <c r="K43" s="45">
        <f>+Grunnlagstall!K37</f>
        <v>2284650</v>
      </c>
      <c r="L43" s="45">
        <f>+Grunnlagstall!L37</f>
        <v>2258010</v>
      </c>
      <c r="M43" s="45">
        <f>+Grunnlagstall!M37</f>
        <v>2237474</v>
      </c>
      <c r="N43" s="45">
        <f>+Grunnlagstall!N37</f>
        <v>2093889</v>
      </c>
      <c r="O43" s="45">
        <f>+Grunnlagstall!O37</f>
        <v>2069737</v>
      </c>
      <c r="P43" s="46">
        <f>+Grunnlagstall!P37</f>
        <v>2050005</v>
      </c>
    </row>
    <row r="44" spans="1:16" x14ac:dyDescent="0.2">
      <c r="A44" s="41" t="s">
        <v>78</v>
      </c>
      <c r="B44" s="67" t="s">
        <v>146</v>
      </c>
      <c r="C44" s="52">
        <f>+(C42*366/C5)/C43</f>
        <v>0.11263161847101283</v>
      </c>
      <c r="D44" s="52">
        <f>+(D42*366/D5)/D43</f>
        <v>0.12060986719077729</v>
      </c>
      <c r="E44" s="52">
        <f>+(E42*366/E5)/E43</f>
        <v>0.10573761191133509</v>
      </c>
      <c r="F44" s="52">
        <f t="shared" ref="F44:G44" si="31">+(F42*365/F5)/F43</f>
        <v>0.1136360367840003</v>
      </c>
      <c r="G44" s="52">
        <f t="shared" si="31"/>
        <v>0.1221534204275895</v>
      </c>
      <c r="H44" s="52">
        <f t="shared" ref="H44:I44" si="32">+(H42*365/H5)/H43</f>
        <v>0.12918428685630501</v>
      </c>
      <c r="I44" s="52">
        <f t="shared" si="32"/>
        <v>9.4906618116163896E-2</v>
      </c>
      <c r="J44" s="52">
        <f t="shared" ref="J44:P44" si="33">+(J42*365/J5)/J43</f>
        <v>0.10547377589210259</v>
      </c>
      <c r="K44" s="52">
        <f t="shared" si="33"/>
        <v>0.10737110845442537</v>
      </c>
      <c r="L44" s="52">
        <f t="shared" si="33"/>
        <v>0.11228376886204082</v>
      </c>
      <c r="M44" s="52">
        <f t="shared" si="33"/>
        <v>7.6602850605439796E-2</v>
      </c>
      <c r="N44" s="52">
        <f t="shared" si="33"/>
        <v>0.10005305916407221</v>
      </c>
      <c r="O44" s="52">
        <f t="shared" si="33"/>
        <v>0.10001034425635233</v>
      </c>
      <c r="P44" s="53">
        <f t="shared" si="33"/>
        <v>9.8905364480919397E-2</v>
      </c>
    </row>
    <row r="45" spans="1:16" x14ac:dyDescent="0.2">
      <c r="A45" s="41"/>
      <c r="B45" s="64"/>
      <c r="C45" s="131"/>
      <c r="D45" s="131"/>
      <c r="E45" s="131"/>
      <c r="F45" s="42"/>
      <c r="G45" s="42"/>
      <c r="H45" s="42"/>
      <c r="I45" s="42"/>
      <c r="J45" s="42"/>
      <c r="K45" s="42"/>
      <c r="L45" s="42"/>
      <c r="M45" s="42"/>
      <c r="N45" s="42"/>
      <c r="O45" s="42"/>
      <c r="P45" s="43"/>
    </row>
    <row r="46" spans="1:16" x14ac:dyDescent="0.2">
      <c r="A46" s="70" t="s">
        <v>96</v>
      </c>
      <c r="B46" s="65" t="s">
        <v>135</v>
      </c>
      <c r="C46" s="48">
        <f>+Grunnlagstall!C51</f>
        <v>229601</v>
      </c>
      <c r="D46" s="48">
        <f>+Grunnlagstall!D51</f>
        <v>161582</v>
      </c>
      <c r="E46" s="48">
        <f>+Grunnlagstall!E51</f>
        <v>71126.520560000092</v>
      </c>
      <c r="F46" s="48">
        <f>+Grunnlagstall!F51</f>
        <v>292357</v>
      </c>
      <c r="G46" s="48">
        <f>+Grunnlagstall!G51</f>
        <v>231773</v>
      </c>
      <c r="H46" s="48">
        <f>+Grunnlagstall!H51</f>
        <v>161238</v>
      </c>
      <c r="I46" s="48">
        <f>+Grunnlagstall!I51</f>
        <v>58571.757180000408</v>
      </c>
      <c r="J46" s="48">
        <f>+Grunnlagstall!J51</f>
        <v>244619</v>
      </c>
      <c r="K46" s="48">
        <f>+Grunnlagstall!K51</f>
        <v>183475</v>
      </c>
      <c r="L46" s="48">
        <f>+Grunnlagstall!L51</f>
        <v>125727</v>
      </c>
      <c r="M46" s="48">
        <f>+Grunnlagstall!M51</f>
        <v>42262.246000000057</v>
      </c>
      <c r="N46" s="48">
        <f>+Grunnlagstall!N51</f>
        <v>209500</v>
      </c>
      <c r="O46" s="48">
        <f>+Grunnlagstall!O51</f>
        <v>154821</v>
      </c>
      <c r="P46" s="49">
        <f>+Grunnlagstall!P51</f>
        <v>100545</v>
      </c>
    </row>
    <row r="47" spans="1:16" x14ac:dyDescent="0.2">
      <c r="A47" s="70" t="s">
        <v>136</v>
      </c>
      <c r="B47" s="65" t="s">
        <v>137</v>
      </c>
      <c r="C47" s="48">
        <f>+Grunnlagstall!C56</f>
        <v>7329</v>
      </c>
      <c r="D47" s="48">
        <f>+Grunnlagstall!D56</f>
        <v>5381</v>
      </c>
      <c r="E47" s="48">
        <f>+Grunnlagstall!E56</f>
        <v>2596</v>
      </c>
      <c r="F47" s="48">
        <f>+Grunnlagstall!F56</f>
        <v>9646</v>
      </c>
      <c r="G47" s="48">
        <f>+Grunnlagstall!G56</f>
        <v>6953</v>
      </c>
      <c r="H47" s="48">
        <f>+Grunnlagstall!H56</f>
        <v>4526</v>
      </c>
      <c r="I47" s="48">
        <f>+Grunnlagstall!I56</f>
        <v>2174</v>
      </c>
      <c r="J47" s="48">
        <f>+Grunnlagstall!J56</f>
        <v>6839</v>
      </c>
      <c r="K47" s="48">
        <f>+Grunnlagstall!K56</f>
        <v>4672</v>
      </c>
      <c r="L47" s="48">
        <f>+Grunnlagstall!L56</f>
        <v>2758</v>
      </c>
      <c r="M47" s="48">
        <f>+Grunnlagstall!M56</f>
        <v>1437</v>
      </c>
      <c r="N47" s="48">
        <f>+Grunnlagstall!N56</f>
        <v>5533</v>
      </c>
      <c r="O47" s="48">
        <f>+Grunnlagstall!O56</f>
        <v>4073</v>
      </c>
      <c r="P47" s="49">
        <f>+Grunnlagstall!P56</f>
        <v>2730</v>
      </c>
    </row>
    <row r="48" spans="1:16" x14ac:dyDescent="0.2">
      <c r="A48" s="70" t="s">
        <v>138</v>
      </c>
      <c r="B48" s="65" t="s">
        <v>140</v>
      </c>
      <c r="C48" s="48">
        <f t="shared" ref="C48:D48" si="34">+C46-C47</f>
        <v>222272</v>
      </c>
      <c r="D48" s="48">
        <f t="shared" si="34"/>
        <v>156201</v>
      </c>
      <c r="E48" s="48">
        <f t="shared" ref="E48:K48" si="35">+E46-E47</f>
        <v>68530.520560000092</v>
      </c>
      <c r="F48" s="48">
        <f t="shared" si="35"/>
        <v>282711</v>
      </c>
      <c r="G48" s="48">
        <f t="shared" si="35"/>
        <v>224820</v>
      </c>
      <c r="H48" s="48">
        <f t="shared" si="35"/>
        <v>156712</v>
      </c>
      <c r="I48" s="48">
        <f t="shared" si="35"/>
        <v>56397.757180000408</v>
      </c>
      <c r="J48" s="48">
        <f t="shared" si="35"/>
        <v>237780</v>
      </c>
      <c r="K48" s="48">
        <f t="shared" si="35"/>
        <v>178803</v>
      </c>
      <c r="L48" s="48">
        <f t="shared" ref="L48:P48" si="36">+L46-L47</f>
        <v>122969</v>
      </c>
      <c r="M48" s="48">
        <f t="shared" si="36"/>
        <v>40825.246000000057</v>
      </c>
      <c r="N48" s="48">
        <f t="shared" si="36"/>
        <v>203967</v>
      </c>
      <c r="O48" s="48">
        <f t="shared" si="36"/>
        <v>150748</v>
      </c>
      <c r="P48" s="49">
        <f t="shared" si="36"/>
        <v>97815</v>
      </c>
    </row>
    <row r="49" spans="1:16" x14ac:dyDescent="0.2">
      <c r="A49" s="70" t="s">
        <v>63</v>
      </c>
      <c r="B49" s="65" t="s">
        <v>172</v>
      </c>
      <c r="C49" s="73">
        <f>+'Avsteming nøkkeltall kvartal'!C83</f>
        <v>48.48</v>
      </c>
      <c r="D49" s="73">
        <f>+'Avsteming nøkkeltall kvartal'!D83</f>
        <v>48.48</v>
      </c>
      <c r="E49" s="73">
        <f>+'Avsteming nøkkeltall kvartal'!E83</f>
        <v>48.48</v>
      </c>
      <c r="F49" s="73">
        <f>+'Avsteming nøkkeltall kvartal'!F83</f>
        <v>48.48</v>
      </c>
      <c r="G49" s="73">
        <f>+'Avsteming nøkkeltall kvartal'!G83</f>
        <v>48.48</v>
      </c>
      <c r="H49" s="73">
        <f>+'Avsteming nøkkeltall kvartal'!H83</f>
        <v>48.48</v>
      </c>
      <c r="I49" s="73">
        <f>+'Avsteming nøkkeltall kvartal'!I83</f>
        <v>48.48</v>
      </c>
      <c r="J49" s="73">
        <f>+'Avsteming nøkkeltall kvartal'!J83</f>
        <v>49.97</v>
      </c>
      <c r="K49" s="73">
        <f>+'Avsteming nøkkeltall kvartal'!K83</f>
        <v>49.97</v>
      </c>
      <c r="L49" s="73">
        <f>+'Avsteming nøkkeltall kvartal'!L83</f>
        <v>49.97</v>
      </c>
      <c r="M49" s="73">
        <f>+'Avsteming nøkkeltall kvartal'!M83</f>
        <v>49.97</v>
      </c>
      <c r="N49" s="73">
        <f>+'Avsteming nøkkeltall kvartal'!N83</f>
        <v>51.39</v>
      </c>
      <c r="O49" s="73">
        <f>+'Avsteming nøkkeltall kvartal'!O83</f>
        <v>51.39</v>
      </c>
      <c r="P49" s="74">
        <f>+'Avsteming nøkkeltall kvartal'!P83</f>
        <v>51.39</v>
      </c>
    </row>
    <row r="50" spans="1:16" x14ac:dyDescent="0.2">
      <c r="A50" s="70" t="s">
        <v>173</v>
      </c>
      <c r="B50" s="65" t="s">
        <v>174</v>
      </c>
      <c r="C50" s="38">
        <f>+'Avsteming nøkkeltall kvartal'!C84</f>
        <v>6124.5339999999997</v>
      </c>
      <c r="D50" s="38">
        <f>+'Avsteming nøkkeltall kvartal'!D84</f>
        <v>6124.5339999999997</v>
      </c>
      <c r="E50" s="38">
        <f>+'Avsteming nøkkeltall kvartal'!E84</f>
        <v>6124.5339999999997</v>
      </c>
      <c r="F50" s="38">
        <f>+'Avsteming nøkkeltall kvartal'!F84</f>
        <v>6124.5339999999997</v>
      </c>
      <c r="G50" s="38">
        <f>+'Avsteming nøkkeltall kvartal'!G84</f>
        <v>6124.5339999999997</v>
      </c>
      <c r="H50" s="38">
        <f>+'Avsteming nøkkeltall kvartal'!H84</f>
        <v>6124.5339999999997</v>
      </c>
      <c r="I50" s="38">
        <f>+'Avsteming nøkkeltall kvartal'!I84</f>
        <v>6124.5339999999997</v>
      </c>
      <c r="J50" s="38">
        <f>+'Avsteming nøkkeltall kvartal'!J84</f>
        <v>6124.5339999999997</v>
      </c>
      <c r="K50" s="38">
        <f>+'Avsteming nøkkeltall kvartal'!K84</f>
        <v>6124.5339999999997</v>
      </c>
      <c r="L50" s="38">
        <f>+'Avsteming nøkkeltall kvartal'!L84</f>
        <v>6124.5339999999997</v>
      </c>
      <c r="M50" s="38">
        <f>+'Avsteming nøkkeltall kvartal'!M84</f>
        <v>6124.5339999999997</v>
      </c>
      <c r="N50" s="38">
        <f>+'Avsteming nøkkeltall kvartal'!N84</f>
        <v>6124.5339999999997</v>
      </c>
      <c r="O50" s="38">
        <f>+'Avsteming nøkkeltall kvartal'!O84</f>
        <v>6124.5339999999997</v>
      </c>
      <c r="P50" s="39">
        <f>+'Avsteming nøkkeltall kvartal'!P84</f>
        <v>6124.5339999999997</v>
      </c>
    </row>
    <row r="51" spans="1:16" ht="13.5" thickBot="1" x14ac:dyDescent="0.25">
      <c r="A51" s="127" t="s">
        <v>33</v>
      </c>
      <c r="B51" s="65" t="s">
        <v>176</v>
      </c>
      <c r="C51" s="85">
        <f t="shared" ref="C51:D51" si="37">+(C48*C49/100)/C50</f>
        <v>17.594394218400939</v>
      </c>
      <c r="D51" s="85">
        <f t="shared" si="37"/>
        <v>12.364409243217526</v>
      </c>
      <c r="E51" s="85">
        <f t="shared" ref="E51:K51" si="38">+(E48*E49/100)/E50</f>
        <v>5.4246733494316537</v>
      </c>
      <c r="F51" s="85">
        <f t="shared" si="38"/>
        <v>22.378566728505387</v>
      </c>
      <c r="G51" s="85">
        <f t="shared" si="38"/>
        <v>17.796086363468632</v>
      </c>
      <c r="H51" s="85">
        <f t="shared" si="38"/>
        <v>12.404858492090991</v>
      </c>
      <c r="I51" s="85">
        <f t="shared" si="38"/>
        <v>4.4642796792154629</v>
      </c>
      <c r="J51" s="85">
        <f t="shared" si="38"/>
        <v>19.400441894844572</v>
      </c>
      <c r="K51" s="85">
        <f t="shared" si="38"/>
        <v>14.588515485423056</v>
      </c>
      <c r="L51" s="85">
        <f t="shared" ref="L51:P51" si="39">+(L48*L49/100)/L50</f>
        <v>10.033026071861141</v>
      </c>
      <c r="M51" s="85">
        <f t="shared" si="39"/>
        <v>3.3309269613328998</v>
      </c>
      <c r="N51" s="85">
        <f t="shared" si="39"/>
        <v>17.114549662064086</v>
      </c>
      <c r="O51" s="85">
        <f t="shared" si="39"/>
        <v>12.649027207621019</v>
      </c>
      <c r="P51" s="86">
        <f t="shared" si="39"/>
        <v>8.2075025626439508</v>
      </c>
    </row>
  </sheetData>
  <pageMargins left="0.7" right="0.7" top="0.75" bottom="0.75" header="0.3" footer="0.3"/>
  <pageSetup paperSize="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B721A6-10CF-4645-8500-BC0C29F838BE}">
  <dimension ref="A2:AD64"/>
  <sheetViews>
    <sheetView showGridLines="0" tabSelected="1" workbookViewId="0">
      <selection activeCell="C5" sqref="C5"/>
    </sheetView>
  </sheetViews>
  <sheetFormatPr baseColWidth="10" defaultRowHeight="12.75" x14ac:dyDescent="0.2"/>
  <cols>
    <col min="1" max="1" width="56.42578125" customWidth="1"/>
    <col min="2" max="3" width="14" style="28" customWidth="1"/>
    <col min="4" max="4" width="15.28515625" style="28" customWidth="1"/>
    <col min="5" max="5" width="14.7109375" style="28" customWidth="1"/>
    <col min="6" max="6" width="14" style="28" customWidth="1"/>
    <col min="7" max="7" width="14" style="162" customWidth="1"/>
    <col min="8" max="9" width="14" style="28" customWidth="1"/>
    <col min="10" max="12" width="14" style="28" bestFit="1" customWidth="1"/>
    <col min="13" max="17" width="13.5703125" style="28" bestFit="1" customWidth="1"/>
    <col min="18" max="22" width="11.5703125" style="28" bestFit="1" customWidth="1"/>
    <col min="23" max="23" width="11.42578125" style="28"/>
  </cols>
  <sheetData>
    <row r="2" spans="1:17" x14ac:dyDescent="0.2">
      <c r="A2" s="90" t="s">
        <v>82</v>
      </c>
      <c r="B2" s="100" t="s">
        <v>205</v>
      </c>
      <c r="C2" s="91" t="s">
        <v>240</v>
      </c>
      <c r="D2" s="91" t="s">
        <v>239</v>
      </c>
      <c r="E2" s="91" t="s">
        <v>238</v>
      </c>
      <c r="F2" s="91" t="s">
        <v>235</v>
      </c>
      <c r="G2" s="91" t="s">
        <v>234</v>
      </c>
      <c r="H2" s="91" t="s">
        <v>233</v>
      </c>
      <c r="I2" s="91" t="s">
        <v>232</v>
      </c>
      <c r="J2" s="91" t="s">
        <v>209</v>
      </c>
      <c r="K2" s="91" t="s">
        <v>83</v>
      </c>
      <c r="L2" s="91" t="s">
        <v>84</v>
      </c>
      <c r="M2" s="91" t="s">
        <v>85</v>
      </c>
      <c r="N2" s="91" t="s">
        <v>86</v>
      </c>
      <c r="O2" s="91" t="s">
        <v>87</v>
      </c>
      <c r="P2" s="91" t="s">
        <v>88</v>
      </c>
      <c r="Q2" s="92" t="s">
        <v>186</v>
      </c>
    </row>
    <row r="3" spans="1:17" x14ac:dyDescent="0.2">
      <c r="A3" s="11" t="s">
        <v>89</v>
      </c>
      <c r="B3" s="101" t="s">
        <v>120</v>
      </c>
      <c r="C3" s="154">
        <v>142117.04016</v>
      </c>
      <c r="D3" s="154">
        <v>134503.50966999994</v>
      </c>
      <c r="E3" s="154">
        <v>133527.77151000011</v>
      </c>
      <c r="F3" s="154">
        <v>133625.43361000024</v>
      </c>
      <c r="G3" s="154">
        <v>134172.51399999997</v>
      </c>
      <c r="H3" s="154">
        <v>127620.01541999969</v>
      </c>
      <c r="I3" s="154">
        <v>123151.47057999999</v>
      </c>
      <c r="J3" s="12">
        <v>120434.41103999513</v>
      </c>
      <c r="K3" s="12">
        <v>108464.64311999807</v>
      </c>
      <c r="L3" s="12">
        <v>97112.087430000218</v>
      </c>
      <c r="M3" s="12">
        <v>91273.909800000023</v>
      </c>
      <c r="N3" s="13">
        <v>92824.220439999801</v>
      </c>
      <c r="O3" s="13">
        <v>91305.793680001574</v>
      </c>
      <c r="P3" s="12">
        <v>83882.61893999936</v>
      </c>
      <c r="Q3" s="22">
        <v>78448.689420000243</v>
      </c>
    </row>
    <row r="4" spans="1:17" x14ac:dyDescent="0.2">
      <c r="A4" s="11" t="s">
        <v>90</v>
      </c>
      <c r="B4" s="101" t="s">
        <v>123</v>
      </c>
      <c r="C4" s="154">
        <v>20812.340469999999</v>
      </c>
      <c r="D4" s="154">
        <v>42994.954579999998</v>
      </c>
      <c r="E4" s="154">
        <v>23851.284140000003</v>
      </c>
      <c r="F4" s="154">
        <v>20862.054409999993</v>
      </c>
      <c r="G4" s="154">
        <v>20671.456999999995</v>
      </c>
      <c r="H4" s="154">
        <v>59673.185889999993</v>
      </c>
      <c r="I4" s="154">
        <v>14331.357110000004</v>
      </c>
      <c r="J4" s="12">
        <v>19619.628360000021</v>
      </c>
      <c r="K4" s="12">
        <v>15911.379879999997</v>
      </c>
      <c r="L4" s="12">
        <v>48918.133840000017</v>
      </c>
      <c r="M4" s="12">
        <v>19655.227310000009</v>
      </c>
      <c r="N4" s="13">
        <v>30342.353779999998</v>
      </c>
      <c r="O4" s="13">
        <v>20624.387350000019</v>
      </c>
      <c r="P4" s="12">
        <v>42648.009240000007</v>
      </c>
      <c r="Q4" s="22">
        <v>21939.412199999995</v>
      </c>
    </row>
    <row r="5" spans="1:17" x14ac:dyDescent="0.2">
      <c r="A5" s="11" t="s">
        <v>91</v>
      </c>
      <c r="B5" s="101" t="s">
        <v>124</v>
      </c>
      <c r="C5" s="154">
        <v>55685.445320000013</v>
      </c>
      <c r="D5" s="154">
        <v>57057.026169999954</v>
      </c>
      <c r="E5" s="154">
        <v>54958.62016000002</v>
      </c>
      <c r="F5" s="154">
        <v>65873.53416000001</v>
      </c>
      <c r="G5" s="154">
        <v>49297.058000000005</v>
      </c>
      <c r="H5" s="154">
        <v>52325.784050000002</v>
      </c>
      <c r="I5" s="154">
        <v>53385.157950000001</v>
      </c>
      <c r="J5" s="12">
        <v>51412.216880000051</v>
      </c>
      <c r="K5" s="12">
        <v>44716.389009999992</v>
      </c>
      <c r="L5" s="12">
        <v>46401.000479999988</v>
      </c>
      <c r="M5" s="12">
        <v>50218.960200000001</v>
      </c>
      <c r="N5" s="13">
        <v>48305.224680000043</v>
      </c>
      <c r="O5" s="13">
        <v>41763.852719999981</v>
      </c>
      <c r="P5" s="12">
        <v>64942.500680000005</v>
      </c>
      <c r="Q5" s="22">
        <v>37894.891669999997</v>
      </c>
    </row>
    <row r="6" spans="1:17" x14ac:dyDescent="0.2">
      <c r="A6" s="14" t="s">
        <v>92</v>
      </c>
      <c r="B6" s="102" t="s">
        <v>133</v>
      </c>
      <c r="C6" s="15">
        <v>107243.93530999999</v>
      </c>
      <c r="D6" s="15">
        <v>120441.43807999998</v>
      </c>
      <c r="E6" s="15">
        <v>102420.43549000009</v>
      </c>
      <c r="F6" s="15">
        <v>88613.953860000212</v>
      </c>
      <c r="G6" s="15">
        <v>105546.91299999996</v>
      </c>
      <c r="H6" s="15">
        <v>134967.41725999967</v>
      </c>
      <c r="I6" s="15">
        <v>84097.669740000405</v>
      </c>
      <c r="J6" s="15">
        <v>88641.822519995098</v>
      </c>
      <c r="K6" s="15">
        <v>79659.633989998081</v>
      </c>
      <c r="L6" s="15">
        <v>99629.220790000254</v>
      </c>
      <c r="M6" s="15">
        <v>60710.176910000038</v>
      </c>
      <c r="N6" s="16">
        <v>74861.349539999763</v>
      </c>
      <c r="O6" s="16">
        <v>70166.328310001612</v>
      </c>
      <c r="P6" s="15">
        <v>61588.127499999355</v>
      </c>
      <c r="Q6" s="23">
        <v>62493.209950000237</v>
      </c>
    </row>
    <row r="7" spans="1:17" x14ac:dyDescent="0.2">
      <c r="A7" s="11" t="s">
        <v>93</v>
      </c>
      <c r="B7" s="101" t="s">
        <v>169</v>
      </c>
      <c r="C7" s="154">
        <v>17120.244369999993</v>
      </c>
      <c r="D7" s="154">
        <v>6879.7483200000006</v>
      </c>
      <c r="E7" s="154">
        <v>8576.1349300000038</v>
      </c>
      <c r="F7" s="154">
        <v>7565.0050199999969</v>
      </c>
      <c r="G7" s="154">
        <v>12689.493999999999</v>
      </c>
      <c r="H7" s="154">
        <v>9201.593440000026</v>
      </c>
      <c r="I7" s="154">
        <v>6582.912559999977</v>
      </c>
      <c r="J7" s="12">
        <v>7192.5865100000083</v>
      </c>
      <c r="K7" s="12">
        <v>3773.4349199999924</v>
      </c>
      <c r="L7" s="12">
        <v>1906.0518000000197</v>
      </c>
      <c r="M7" s="12">
        <v>5164.93090999998</v>
      </c>
      <c r="N7" s="13">
        <v>5342.531860000181</v>
      </c>
      <c r="O7" s="13">
        <v>-1139.7558300000921</v>
      </c>
      <c r="P7" s="12">
        <v>-1619.1731199999551</v>
      </c>
      <c r="Q7" s="22">
        <v>2505.7314699999988</v>
      </c>
    </row>
    <row r="8" spans="1:17" x14ac:dyDescent="0.2">
      <c r="A8" s="14" t="s">
        <v>94</v>
      </c>
      <c r="B8" s="102"/>
      <c r="C8" s="15">
        <v>90123.69094</v>
      </c>
      <c r="D8" s="15">
        <v>113561.68975999998</v>
      </c>
      <c r="E8" s="15">
        <v>93844.300560000091</v>
      </c>
      <c r="F8" s="15">
        <v>81048.948840000216</v>
      </c>
      <c r="G8" s="15">
        <v>92857.418999999965</v>
      </c>
      <c r="H8" s="15">
        <v>125765.82381999964</v>
      </c>
      <c r="I8" s="15">
        <v>77514.757180000393</v>
      </c>
      <c r="J8" s="15">
        <v>81449.236009995089</v>
      </c>
      <c r="K8" s="15">
        <v>75886.199069998082</v>
      </c>
      <c r="L8" s="15">
        <v>97723.168990000238</v>
      </c>
      <c r="M8" s="15">
        <v>55545.246000000057</v>
      </c>
      <c r="N8" s="16">
        <v>69518.817679999585</v>
      </c>
      <c r="O8" s="16">
        <v>71306.084140001709</v>
      </c>
      <c r="P8" s="15">
        <v>63207.300619999311</v>
      </c>
      <c r="Q8" s="23">
        <v>59987.478480000238</v>
      </c>
    </row>
    <row r="9" spans="1:17" x14ac:dyDescent="0.2">
      <c r="A9" s="11" t="s">
        <v>95</v>
      </c>
      <c r="B9" s="101"/>
      <c r="C9" s="154">
        <v>22105</v>
      </c>
      <c r="D9" s="154">
        <v>23106.22</v>
      </c>
      <c r="E9" s="154">
        <v>22717.78</v>
      </c>
      <c r="F9" s="154">
        <v>20872</v>
      </c>
      <c r="G9" s="154">
        <v>22322</v>
      </c>
      <c r="H9" s="154">
        <v>23100</v>
      </c>
      <c r="I9" s="154">
        <v>18536</v>
      </c>
      <c r="J9" s="12">
        <v>20305.114000000001</v>
      </c>
      <c r="K9" s="12">
        <v>18110</v>
      </c>
      <c r="L9" s="12">
        <v>14287</v>
      </c>
      <c r="M9" s="12">
        <v>13283</v>
      </c>
      <c r="N9" s="13">
        <v>14839.807999999997</v>
      </c>
      <c r="O9" s="13">
        <v>17030</v>
      </c>
      <c r="P9" s="12">
        <v>8300</v>
      </c>
      <c r="Q9" s="22">
        <v>14350</v>
      </c>
    </row>
    <row r="10" spans="1:17" x14ac:dyDescent="0.2">
      <c r="A10" s="96" t="s">
        <v>96</v>
      </c>
      <c r="B10" s="103" t="s">
        <v>135</v>
      </c>
      <c r="C10" s="97">
        <v>68018.69094</v>
      </c>
      <c r="D10" s="97">
        <v>90455.469759999978</v>
      </c>
      <c r="E10" s="97">
        <v>71126.520560000092</v>
      </c>
      <c r="F10" s="97">
        <v>60176.948840000216</v>
      </c>
      <c r="G10" s="97">
        <v>70535.418999999965</v>
      </c>
      <c r="H10" s="97">
        <v>102665.82381999964</v>
      </c>
      <c r="I10" s="97">
        <v>58978.757180000401</v>
      </c>
      <c r="J10" s="97">
        <v>61144.122009995088</v>
      </c>
      <c r="K10" s="97">
        <v>57776.199069998082</v>
      </c>
      <c r="L10" s="97">
        <v>83436.168990000238</v>
      </c>
      <c r="M10" s="97">
        <v>42262.246000000057</v>
      </c>
      <c r="N10" s="98">
        <v>54679.009679999588</v>
      </c>
      <c r="O10" s="98">
        <v>54276.084140001709</v>
      </c>
      <c r="P10" s="97">
        <v>54907.300619999311</v>
      </c>
      <c r="Q10" s="99">
        <v>45637.478480000238</v>
      </c>
    </row>
    <row r="11" spans="1:17" x14ac:dyDescent="0.2">
      <c r="A11" s="17"/>
      <c r="B11" s="104"/>
      <c r="C11" s="151"/>
      <c r="D11" s="151"/>
      <c r="E11" s="151"/>
      <c r="F11" s="151"/>
      <c r="G11" s="161"/>
      <c r="H11" s="151"/>
      <c r="I11" s="151"/>
      <c r="J11" s="18"/>
      <c r="K11" s="18"/>
      <c r="L11" s="18"/>
      <c r="M11" s="18"/>
      <c r="N11" s="19"/>
      <c r="O11" s="19"/>
      <c r="P11" s="18"/>
      <c r="Q11" s="24"/>
    </row>
    <row r="12" spans="1:17" x14ac:dyDescent="0.2">
      <c r="A12" s="17" t="s">
        <v>202</v>
      </c>
      <c r="B12" s="104"/>
      <c r="C12" s="151"/>
      <c r="D12" s="151"/>
      <c r="E12" s="151"/>
      <c r="F12" s="151"/>
      <c r="G12" s="161"/>
      <c r="H12" s="151"/>
      <c r="I12" s="151"/>
      <c r="J12" s="18"/>
      <c r="K12" s="18"/>
      <c r="L12" s="18"/>
      <c r="M12" s="18"/>
      <c r="N12" s="19"/>
      <c r="O12" s="19"/>
      <c r="P12" s="18"/>
      <c r="Q12" s="24"/>
    </row>
    <row r="13" spans="1:17" x14ac:dyDescent="0.2">
      <c r="A13" s="11" t="s">
        <v>115</v>
      </c>
      <c r="B13" s="101"/>
      <c r="C13" s="150"/>
      <c r="D13" s="150"/>
      <c r="E13" s="150"/>
      <c r="F13" s="150"/>
      <c r="G13" s="154"/>
      <c r="H13" s="150"/>
      <c r="I13" s="150"/>
      <c r="J13" s="12"/>
      <c r="K13" s="12"/>
      <c r="L13" s="12"/>
      <c r="M13" s="12"/>
      <c r="N13" s="12"/>
      <c r="O13" s="13"/>
      <c r="P13" s="12"/>
    </row>
    <row r="14" spans="1:17" x14ac:dyDescent="0.2">
      <c r="A14" s="11" t="s">
        <v>116</v>
      </c>
      <c r="B14" s="101" t="s">
        <v>129</v>
      </c>
      <c r="C14" s="154">
        <v>-3138</v>
      </c>
      <c r="D14" s="154">
        <v>1204</v>
      </c>
      <c r="E14" s="154">
        <v>4390</v>
      </c>
      <c r="F14" s="154">
        <v>-2310</v>
      </c>
      <c r="G14" s="154">
        <v>2171</v>
      </c>
      <c r="H14" s="154">
        <v>5618</v>
      </c>
      <c r="I14" s="154">
        <v>-4618</v>
      </c>
      <c r="J14" s="12">
        <v>-3724</v>
      </c>
      <c r="K14" s="12">
        <v>-4259</v>
      </c>
      <c r="L14" s="12">
        <v>-7834</v>
      </c>
      <c r="M14" s="12">
        <v>-1312</v>
      </c>
      <c r="N14" s="12">
        <v>-860</v>
      </c>
      <c r="O14" s="13">
        <v>454</v>
      </c>
      <c r="P14" s="12">
        <v>-1172</v>
      </c>
      <c r="Q14" s="12">
        <v>2720</v>
      </c>
    </row>
    <row r="15" spans="1:17" x14ac:dyDescent="0.2">
      <c r="A15" s="11" t="s">
        <v>136</v>
      </c>
      <c r="B15" s="101" t="s">
        <v>137</v>
      </c>
      <c r="C15" s="154">
        <v>1948</v>
      </c>
      <c r="D15" s="154">
        <v>2785</v>
      </c>
      <c r="E15" s="154">
        <v>2596</v>
      </c>
      <c r="F15" s="154">
        <f>9646-6953</f>
        <v>2693</v>
      </c>
      <c r="G15" s="154">
        <f>6953-4526</f>
        <v>2427</v>
      </c>
      <c r="H15" s="154">
        <v>2352</v>
      </c>
      <c r="I15" s="154">
        <v>2174</v>
      </c>
      <c r="J15" s="12">
        <f>6839-4672</f>
        <v>2167</v>
      </c>
      <c r="K15" s="12">
        <v>1914</v>
      </c>
      <c r="L15" s="12">
        <v>1321</v>
      </c>
      <c r="M15" s="12">
        <v>1437</v>
      </c>
      <c r="N15" s="12">
        <v>1460</v>
      </c>
      <c r="O15" s="13">
        <v>1343</v>
      </c>
      <c r="P15" s="12">
        <v>1409</v>
      </c>
      <c r="Q15" s="29">
        <v>1321</v>
      </c>
    </row>
    <row r="16" spans="1:17" x14ac:dyDescent="0.2">
      <c r="A16" s="11"/>
      <c r="B16" s="105"/>
      <c r="C16" s="152"/>
      <c r="D16" s="152"/>
      <c r="E16" s="152"/>
      <c r="F16" s="152"/>
      <c r="G16" s="152"/>
      <c r="H16" s="152"/>
      <c r="I16" s="152"/>
      <c r="J16" s="12"/>
      <c r="K16" s="12"/>
      <c r="L16" s="12"/>
      <c r="M16" s="12"/>
      <c r="N16" s="12"/>
      <c r="O16" s="13"/>
      <c r="P16" s="12"/>
      <c r="Q16" s="29"/>
    </row>
    <row r="17" spans="1:30" x14ac:dyDescent="0.2">
      <c r="A17" s="11"/>
      <c r="B17" s="106"/>
      <c r="C17" s="153"/>
      <c r="D17" s="153"/>
      <c r="E17" s="153"/>
      <c r="F17" s="153"/>
      <c r="G17" s="80"/>
      <c r="H17" s="153"/>
      <c r="I17" s="153"/>
    </row>
    <row r="18" spans="1:30" x14ac:dyDescent="0.2">
      <c r="A18" s="90" t="s">
        <v>97</v>
      </c>
      <c r="B18" s="107"/>
      <c r="C18" s="164">
        <v>45565</v>
      </c>
      <c r="D18" s="164">
        <v>45473</v>
      </c>
      <c r="E18" s="164">
        <v>45382</v>
      </c>
      <c r="F18" s="164">
        <v>45291</v>
      </c>
      <c r="G18" s="163" t="s">
        <v>236</v>
      </c>
      <c r="H18" s="94">
        <v>45107</v>
      </c>
      <c r="I18" s="94">
        <v>45016</v>
      </c>
      <c r="J18" s="94">
        <v>44926</v>
      </c>
      <c r="K18" s="94">
        <v>44834</v>
      </c>
      <c r="L18" s="94">
        <v>44742</v>
      </c>
      <c r="M18" s="94">
        <v>44651</v>
      </c>
      <c r="N18" s="94">
        <v>44561</v>
      </c>
      <c r="O18" s="94">
        <v>44469</v>
      </c>
      <c r="P18" s="94">
        <v>44377</v>
      </c>
      <c r="Q18" s="94">
        <v>44286</v>
      </c>
      <c r="R18" s="94">
        <v>44196</v>
      </c>
      <c r="S18" s="94">
        <v>44104</v>
      </c>
      <c r="T18" s="94">
        <v>44012</v>
      </c>
      <c r="U18" s="94">
        <v>43921</v>
      </c>
      <c r="V18" s="94">
        <v>43830</v>
      </c>
    </row>
    <row r="19" spans="1:30" x14ac:dyDescent="0.2">
      <c r="A19" s="11" t="s">
        <v>98</v>
      </c>
      <c r="B19" s="108" t="s">
        <v>150</v>
      </c>
      <c r="C19" s="155">
        <v>19763722.567200005</v>
      </c>
      <c r="D19" s="155">
        <v>19374754.813400004</v>
      </c>
      <c r="E19" s="155">
        <v>18785430.832879998</v>
      </c>
      <c r="F19" s="155">
        <v>18521993.758899998</v>
      </c>
      <c r="G19" s="155">
        <v>18764829.274999999</v>
      </c>
      <c r="H19" s="155">
        <v>19228385.669</v>
      </c>
      <c r="I19" s="155">
        <v>18802793.790859867</v>
      </c>
      <c r="J19" s="13">
        <v>18836623.624359865</v>
      </c>
      <c r="K19" s="13">
        <v>18858337.343439784</v>
      </c>
      <c r="L19" s="13">
        <v>18548959.305619802</v>
      </c>
      <c r="M19" s="13">
        <v>17967360.297719706</v>
      </c>
      <c r="N19" s="13">
        <v>17730021.602289729</v>
      </c>
      <c r="O19" s="13">
        <v>17778799.599719867</v>
      </c>
      <c r="P19" s="12">
        <v>17358838.674029812</v>
      </c>
      <c r="Q19" s="12">
        <v>16167063.651719812</v>
      </c>
      <c r="R19" s="12">
        <v>15679321.866809871</v>
      </c>
      <c r="S19" s="12">
        <v>15478086.649019852</v>
      </c>
      <c r="T19" s="12">
        <v>15228749.09817986</v>
      </c>
      <c r="U19" s="12">
        <v>14743103.5</v>
      </c>
      <c r="V19" s="12">
        <v>14468202</v>
      </c>
    </row>
    <row r="20" spans="1:30" x14ac:dyDescent="0.2">
      <c r="A20" s="11" t="s">
        <v>99</v>
      </c>
      <c r="B20" s="108" t="s">
        <v>149</v>
      </c>
      <c r="C20" s="155">
        <v>11476103.036310002</v>
      </c>
      <c r="D20" s="155">
        <v>11616194.708339998</v>
      </c>
      <c r="E20" s="155">
        <v>11066569.629050002</v>
      </c>
      <c r="F20" s="155">
        <v>10712433.58365</v>
      </c>
      <c r="G20" s="155">
        <v>10598966.461999999</v>
      </c>
      <c r="H20" s="155">
        <v>10838042.538000001</v>
      </c>
      <c r="I20" s="155">
        <v>10671566.552750032</v>
      </c>
      <c r="J20" s="13">
        <v>10651204.762010034</v>
      </c>
      <c r="K20" s="13">
        <v>10658593.773430044</v>
      </c>
      <c r="L20" s="13">
        <v>10904126.716830069</v>
      </c>
      <c r="M20" s="13">
        <v>10028321.423190072</v>
      </c>
      <c r="N20" s="13">
        <v>9923174.4379000552</v>
      </c>
      <c r="O20" s="13">
        <v>10034092.177220032</v>
      </c>
      <c r="P20" s="12">
        <v>10068578.189180031</v>
      </c>
      <c r="Q20" s="12">
        <v>9933980.8027600218</v>
      </c>
      <c r="R20" s="12">
        <v>9903986.891990032</v>
      </c>
      <c r="S20" s="12">
        <v>9714233.5407400448</v>
      </c>
      <c r="T20" s="12">
        <v>9856150.2072700337</v>
      </c>
      <c r="U20" s="12">
        <v>9259110</v>
      </c>
      <c r="V20" s="12">
        <v>9085300</v>
      </c>
    </row>
    <row r="21" spans="1:30" x14ac:dyDescent="0.2">
      <c r="A21" s="11" t="s">
        <v>100</v>
      </c>
      <c r="B21" s="108"/>
      <c r="C21" s="155">
        <v>7888300.1589399986</v>
      </c>
      <c r="D21" s="155">
        <v>7871896.8046699995</v>
      </c>
      <c r="E21" s="155">
        <v>8056877.2405300001</v>
      </c>
      <c r="F21" s="155">
        <v>8434678.6713000014</v>
      </c>
      <c r="G21" s="155">
        <v>8116190.148</v>
      </c>
      <c r="H21" s="155">
        <v>8263731.1140000001</v>
      </c>
      <c r="I21" s="155">
        <v>8463612.7554799989</v>
      </c>
      <c r="J21" s="13">
        <v>8394477.922530001</v>
      </c>
      <c r="K21" s="13">
        <v>8597906.3007399999</v>
      </c>
      <c r="L21" s="13">
        <v>8317882.6971800011</v>
      </c>
      <c r="M21" s="13">
        <v>8436757.8482100014</v>
      </c>
      <c r="N21" s="13">
        <v>8370356.4690199979</v>
      </c>
      <c r="O21" s="13">
        <v>8123349.065179999</v>
      </c>
      <c r="P21" s="12">
        <v>7555028.2433999991</v>
      </c>
      <c r="Q21" s="12">
        <v>6731759.8804599997</v>
      </c>
      <c r="R21" s="12">
        <v>6173420.8199899998</v>
      </c>
      <c r="S21" s="12">
        <v>6182901.5029599983</v>
      </c>
      <c r="T21" s="12">
        <v>5991873.5369099984</v>
      </c>
      <c r="U21" s="12">
        <v>5943113</v>
      </c>
      <c r="V21" s="12">
        <v>5720132</v>
      </c>
    </row>
    <row r="22" spans="1:30" x14ac:dyDescent="0.2">
      <c r="A22" s="11" t="s">
        <v>101</v>
      </c>
      <c r="B22" s="108"/>
      <c r="C22" s="155">
        <v>201891.99900000001</v>
      </c>
      <c r="D22" s="155">
        <v>201866.65833999999</v>
      </c>
      <c r="E22" s="155">
        <v>200856.41665999999</v>
      </c>
      <c r="F22" s="155">
        <v>200875.5</v>
      </c>
      <c r="G22" s="155">
        <v>200863.66699999999</v>
      </c>
      <c r="H22" s="155">
        <v>200752.95800000001</v>
      </c>
      <c r="I22" s="155">
        <v>200701.99999999994</v>
      </c>
      <c r="J22" s="13">
        <v>200709.72221999994</v>
      </c>
      <c r="K22" s="13">
        <v>200575.23610999997</v>
      </c>
      <c r="L22" s="13">
        <v>200411.05554999996</v>
      </c>
      <c r="M22" s="13">
        <v>200234.61110999997</v>
      </c>
      <c r="N22" s="13">
        <v>200189.83332999999</v>
      </c>
      <c r="O22" s="13">
        <v>200156.55554999999</v>
      </c>
      <c r="P22" s="12">
        <v>200134.11111</v>
      </c>
      <c r="Q22" s="12">
        <v>200153.26388999994</v>
      </c>
      <c r="R22" s="12">
        <v>200155.61110999997</v>
      </c>
      <c r="S22" s="12">
        <v>200137.77777999995</v>
      </c>
      <c r="T22" s="12">
        <v>200134.59721999997</v>
      </c>
      <c r="U22" s="12">
        <v>200245</v>
      </c>
      <c r="V22" s="12">
        <v>200241</v>
      </c>
    </row>
    <row r="23" spans="1:30" x14ac:dyDescent="0.2">
      <c r="A23" s="11" t="s">
        <v>102</v>
      </c>
      <c r="B23" s="108" t="s">
        <v>171</v>
      </c>
      <c r="C23" s="155">
        <v>2761184.3211400001</v>
      </c>
      <c r="D23" s="155">
        <v>2693164.6136400001</v>
      </c>
      <c r="E23" s="155">
        <v>2631540.4340000004</v>
      </c>
      <c r="F23" s="155">
        <v>2756817.8226700006</v>
      </c>
      <c r="G23" s="155">
        <v>2630001.9828600003</v>
      </c>
      <c r="H23" s="155">
        <v>2559466.5638600001</v>
      </c>
      <c r="I23" s="155">
        <v>2456800.7400400015</v>
      </c>
      <c r="J23" s="13">
        <v>2490219.4010399999</v>
      </c>
      <c r="K23" s="13">
        <v>2359403.77032999</v>
      </c>
      <c r="L23" s="13">
        <v>2301655.3292599982</v>
      </c>
      <c r="M23" s="13">
        <v>2254318.5344100003</v>
      </c>
      <c r="N23" s="13">
        <v>2184038.0129200094</v>
      </c>
      <c r="O23" s="13">
        <v>2144254.0391100007</v>
      </c>
      <c r="P23" s="20">
        <v>2058826.1869700002</v>
      </c>
      <c r="Q23" s="20">
        <v>2030502.8691600007</v>
      </c>
      <c r="R23" s="20">
        <v>2039400.0471800023</v>
      </c>
      <c r="S23" s="20">
        <v>1946837.5747699982</v>
      </c>
      <c r="T23" s="20">
        <v>1904395.1723199945</v>
      </c>
      <c r="U23" s="20">
        <v>1871720</v>
      </c>
      <c r="V23" s="20">
        <v>1900426.2999999998</v>
      </c>
    </row>
    <row r="24" spans="1:30" x14ac:dyDescent="0.2">
      <c r="A24" s="11" t="s">
        <v>103</v>
      </c>
      <c r="B24" s="108"/>
      <c r="C24" s="155">
        <v>22594502.437619999</v>
      </c>
      <c r="D24" s="155">
        <v>22667928.088609997</v>
      </c>
      <c r="E24" s="155">
        <v>22351973.26895</v>
      </c>
      <c r="F24" s="155">
        <v>22323320.255870003</v>
      </c>
      <c r="G24" s="155">
        <v>21788823</v>
      </c>
      <c r="H24" s="155">
        <v>22136236.583860002</v>
      </c>
      <c r="I24" s="155">
        <v>22119882.199110031</v>
      </c>
      <c r="J24" s="13">
        <v>21974314.547970034</v>
      </c>
      <c r="K24" s="13">
        <v>22050085.62483</v>
      </c>
      <c r="L24" s="13">
        <v>21949215.152980071</v>
      </c>
      <c r="M24" s="13">
        <v>21203324.595910076</v>
      </c>
      <c r="N24" s="13">
        <v>20843345</v>
      </c>
      <c r="O24" s="13">
        <v>20670818.58611</v>
      </c>
      <c r="P24" s="20">
        <v>20034418</v>
      </c>
      <c r="Q24" s="20">
        <v>19276532</v>
      </c>
      <c r="R24" s="20">
        <v>18657838.692710031</v>
      </c>
      <c r="S24" s="20">
        <v>18386601.029119045</v>
      </c>
      <c r="T24" s="20">
        <v>18278603.696750026</v>
      </c>
      <c r="U24" s="20">
        <v>17575242</v>
      </c>
      <c r="V24" s="20">
        <v>17065433.599999998</v>
      </c>
    </row>
    <row r="25" spans="1:30" x14ac:dyDescent="0.2">
      <c r="A25" s="11" t="s">
        <v>104</v>
      </c>
      <c r="B25" s="108"/>
      <c r="C25" s="155">
        <v>22661579</v>
      </c>
      <c r="D25" s="155">
        <v>22430352</v>
      </c>
      <c r="E25" s="155">
        <v>22354157</v>
      </c>
      <c r="F25" s="155">
        <v>22258220</v>
      </c>
      <c r="G25" s="155">
        <v>22008435</v>
      </c>
      <c r="H25" s="155">
        <v>22043171</v>
      </c>
      <c r="I25" s="155">
        <v>22199993</v>
      </c>
      <c r="J25" s="12">
        <v>22017068</v>
      </c>
      <c r="K25" s="12">
        <v>21876830</v>
      </c>
      <c r="L25" s="12">
        <v>21530095</v>
      </c>
      <c r="M25" s="12">
        <v>21067720</v>
      </c>
      <c r="N25" s="12">
        <v>20799417</v>
      </c>
      <c r="O25" s="13">
        <v>20357446</v>
      </c>
      <c r="P25" s="12">
        <v>19581558</v>
      </c>
      <c r="Q25" s="12">
        <v>18959065</v>
      </c>
      <c r="R25" s="12">
        <v>18525489</v>
      </c>
      <c r="S25" s="12">
        <v>18313545</v>
      </c>
      <c r="T25" s="12">
        <v>18145979</v>
      </c>
      <c r="U25" s="12">
        <v>17404757.649999999</v>
      </c>
      <c r="V25" s="12">
        <v>17028348</v>
      </c>
    </row>
    <row r="26" spans="1:30" x14ac:dyDescent="0.2">
      <c r="A26" s="11" t="s">
        <v>29</v>
      </c>
      <c r="B26" s="108" t="s">
        <v>165</v>
      </c>
      <c r="C26" s="155">
        <v>3363331.9530000002</v>
      </c>
      <c r="D26" s="155">
        <v>3681978</v>
      </c>
      <c r="E26" s="155">
        <v>4020344</v>
      </c>
      <c r="F26" s="155">
        <v>4191335</v>
      </c>
      <c r="G26" s="155">
        <v>3606378</v>
      </c>
      <c r="H26" s="155">
        <v>2913291</v>
      </c>
      <c r="I26" s="155">
        <v>2796350</v>
      </c>
      <c r="J26" s="12">
        <v>2583525</v>
      </c>
      <c r="K26" s="12">
        <v>2314942</v>
      </c>
      <c r="L26" s="12">
        <v>2275765</v>
      </c>
      <c r="M26" s="12">
        <v>2427530</v>
      </c>
      <c r="N26" s="12">
        <v>2399721</v>
      </c>
      <c r="O26" s="13">
        <v>2433214.9</v>
      </c>
      <c r="P26" s="12">
        <v>2513001</v>
      </c>
      <c r="Q26" s="12">
        <v>2681504</v>
      </c>
      <c r="R26" s="12">
        <v>2853917</v>
      </c>
      <c r="S26" s="12">
        <v>3009916.1230000001</v>
      </c>
      <c r="T26" s="12">
        <v>3002556.77</v>
      </c>
      <c r="U26" s="12">
        <v>2926980</v>
      </c>
      <c r="V26" s="12">
        <v>3071420</v>
      </c>
    </row>
    <row r="27" spans="1:30" x14ac:dyDescent="0.2">
      <c r="A27" s="11" t="s">
        <v>106</v>
      </c>
      <c r="B27" s="108"/>
      <c r="C27" s="12">
        <v>81</v>
      </c>
      <c r="D27" s="12">
        <v>88</v>
      </c>
      <c r="E27" s="12">
        <v>87</v>
      </c>
      <c r="F27" s="12">
        <v>88</v>
      </c>
      <c r="G27" s="12">
        <v>87</v>
      </c>
      <c r="H27" s="12">
        <v>89.51</v>
      </c>
      <c r="I27" s="12">
        <v>89.51</v>
      </c>
      <c r="J27" s="12">
        <v>90</v>
      </c>
      <c r="K27" s="12">
        <v>88</v>
      </c>
      <c r="L27" s="12">
        <v>88</v>
      </c>
      <c r="M27" s="12">
        <v>88</v>
      </c>
      <c r="N27" s="12">
        <v>89</v>
      </c>
      <c r="O27" s="13">
        <v>90</v>
      </c>
      <c r="P27" s="12">
        <v>88.7</v>
      </c>
    </row>
    <row r="28" spans="1:30" x14ac:dyDescent="0.2">
      <c r="B28" s="106"/>
      <c r="C28" s="153"/>
      <c r="D28" s="80"/>
      <c r="E28" s="80"/>
      <c r="F28" s="80"/>
      <c r="G28" s="80"/>
      <c r="H28" s="153"/>
      <c r="I28" s="153"/>
    </row>
    <row r="29" spans="1:30" x14ac:dyDescent="0.2">
      <c r="A29" s="90" t="s">
        <v>203</v>
      </c>
      <c r="B29" s="107"/>
      <c r="C29" s="165">
        <v>45565</v>
      </c>
      <c r="D29" s="165">
        <v>45473</v>
      </c>
      <c r="E29" s="165">
        <v>45382</v>
      </c>
      <c r="F29" s="165" t="s">
        <v>237</v>
      </c>
      <c r="G29" s="156">
        <v>45199</v>
      </c>
      <c r="H29" s="156">
        <v>45107</v>
      </c>
      <c r="I29" s="156">
        <v>45016</v>
      </c>
      <c r="J29" s="94">
        <v>44926</v>
      </c>
      <c r="K29" s="94">
        <v>44834</v>
      </c>
      <c r="L29" s="94">
        <v>44742</v>
      </c>
      <c r="M29" s="94">
        <v>44651</v>
      </c>
      <c r="N29" s="94">
        <v>44561</v>
      </c>
      <c r="O29" s="94">
        <v>44469</v>
      </c>
      <c r="P29" s="94">
        <v>44377</v>
      </c>
      <c r="Q29" s="94">
        <v>44286</v>
      </c>
      <c r="R29" s="29"/>
      <c r="S29" s="29"/>
      <c r="T29" s="29"/>
      <c r="U29" s="29"/>
      <c r="V29" s="29"/>
    </row>
    <row r="30" spans="1:30" x14ac:dyDescent="0.2">
      <c r="A30" s="28" t="s">
        <v>139</v>
      </c>
      <c r="B30" s="105" t="s">
        <v>142</v>
      </c>
      <c r="C30" s="157">
        <v>100000</v>
      </c>
      <c r="D30" s="157">
        <v>100000</v>
      </c>
      <c r="E30" s="157">
        <v>125000</v>
      </c>
      <c r="F30" s="157">
        <v>125000</v>
      </c>
      <c r="G30" s="157">
        <f>+H30</f>
        <v>125000</v>
      </c>
      <c r="H30" s="157">
        <f>+I30</f>
        <v>125000</v>
      </c>
      <c r="I30" s="157">
        <f>+J30</f>
        <v>125000</v>
      </c>
      <c r="J30" s="12">
        <f>+K30</f>
        <v>125000</v>
      </c>
      <c r="K30" s="12">
        <v>125000</v>
      </c>
      <c r="L30" s="12">
        <v>125000</v>
      </c>
      <c r="M30" s="12">
        <v>125000</v>
      </c>
      <c r="N30" s="12">
        <v>125000</v>
      </c>
      <c r="O30" s="12">
        <v>143000</v>
      </c>
      <c r="P30" s="12">
        <v>143000</v>
      </c>
      <c r="Q30" s="12">
        <v>143000</v>
      </c>
    </row>
    <row r="31" spans="1:30" x14ac:dyDescent="0.2">
      <c r="A31" s="28" t="s">
        <v>207</v>
      </c>
      <c r="B31" s="105" t="s">
        <v>142</v>
      </c>
      <c r="C31" s="157">
        <v>107098</v>
      </c>
      <c r="D31" s="157">
        <v>135922</v>
      </c>
      <c r="E31" s="157">
        <v>125000</v>
      </c>
      <c r="F31" s="157">
        <v>125000</v>
      </c>
      <c r="G31" s="157">
        <f t="shared" ref="G31:H31" si="0">+G30</f>
        <v>125000</v>
      </c>
      <c r="H31" s="157">
        <f t="shared" si="0"/>
        <v>125000</v>
      </c>
      <c r="I31" s="157">
        <f t="shared" ref="I31:J31" si="1">+I30</f>
        <v>125000</v>
      </c>
      <c r="J31" s="12">
        <f t="shared" si="1"/>
        <v>125000</v>
      </c>
      <c r="K31" s="12">
        <f t="shared" ref="K31:L32" si="2">+K30</f>
        <v>125000</v>
      </c>
      <c r="L31" s="12">
        <f t="shared" si="2"/>
        <v>125000</v>
      </c>
      <c r="M31" s="12">
        <f>+M30</f>
        <v>125000</v>
      </c>
      <c r="N31" s="12">
        <v>137000</v>
      </c>
      <c r="O31" s="12">
        <f>+O30</f>
        <v>143000</v>
      </c>
      <c r="P31" s="12">
        <f t="shared" ref="P31:Q32" si="3">+P30</f>
        <v>143000</v>
      </c>
      <c r="Q31" s="12">
        <f t="shared" si="3"/>
        <v>143000</v>
      </c>
      <c r="X31" s="28"/>
      <c r="Y31" s="28"/>
      <c r="Z31" s="28"/>
      <c r="AA31" s="28"/>
      <c r="AB31" s="28"/>
      <c r="AC31" s="28"/>
      <c r="AD31" s="28"/>
    </row>
    <row r="32" spans="1:30" x14ac:dyDescent="0.2">
      <c r="A32" s="28" t="s">
        <v>208</v>
      </c>
      <c r="B32" s="105" t="s">
        <v>142</v>
      </c>
      <c r="C32" s="157">
        <v>120176</v>
      </c>
      <c r="D32" s="157">
        <v>130431</v>
      </c>
      <c r="E32" s="157">
        <v>125000</v>
      </c>
      <c r="F32" s="157">
        <v>125000</v>
      </c>
      <c r="G32" s="157">
        <f t="shared" ref="G32:H32" si="4">+G31</f>
        <v>125000</v>
      </c>
      <c r="H32" s="157">
        <f t="shared" si="4"/>
        <v>125000</v>
      </c>
      <c r="I32" s="157">
        <f t="shared" ref="I32:J32" si="5">+I31</f>
        <v>125000</v>
      </c>
      <c r="J32" s="12">
        <f t="shared" si="5"/>
        <v>125000</v>
      </c>
      <c r="K32" s="12">
        <f t="shared" si="2"/>
        <v>125000</v>
      </c>
      <c r="L32" s="12">
        <f t="shared" si="2"/>
        <v>125000</v>
      </c>
      <c r="M32" s="12">
        <f>+M31</f>
        <v>125000</v>
      </c>
      <c r="N32" s="12">
        <v>141400</v>
      </c>
      <c r="O32" s="12">
        <f>+O31</f>
        <v>143000</v>
      </c>
      <c r="P32" s="12">
        <f t="shared" si="3"/>
        <v>143000</v>
      </c>
      <c r="Q32" s="12">
        <f t="shared" si="3"/>
        <v>143000</v>
      </c>
    </row>
    <row r="33" spans="1:22" x14ac:dyDescent="0.2">
      <c r="A33" s="28" t="s">
        <v>173</v>
      </c>
      <c r="B33" s="105" t="s">
        <v>174</v>
      </c>
      <c r="C33" s="158">
        <v>6124.5339999999997</v>
      </c>
      <c r="D33" s="158">
        <v>6124.5339999999997</v>
      </c>
      <c r="E33" s="158">
        <v>6124.5339999999997</v>
      </c>
      <c r="F33" s="158">
        <v>6124.5339999999997</v>
      </c>
      <c r="G33" s="158">
        <f>+H33</f>
        <v>6124.5339999999997</v>
      </c>
      <c r="H33" s="158">
        <f>+I33</f>
        <v>6124.5339999999997</v>
      </c>
      <c r="I33" s="158">
        <f>+J33</f>
        <v>6124.5339999999997</v>
      </c>
      <c r="J33" s="29">
        <f>+K33</f>
        <v>6124.5339999999997</v>
      </c>
      <c r="K33" s="29">
        <v>6124.5339999999997</v>
      </c>
      <c r="L33" s="29">
        <v>6124.5339999999997</v>
      </c>
      <c r="M33" s="29">
        <v>6124.5339999999997</v>
      </c>
      <c r="N33" s="29">
        <v>6124.5339999999997</v>
      </c>
      <c r="O33" s="29">
        <v>6124.5339999999997</v>
      </c>
      <c r="P33" s="29">
        <v>6124.5339999999997</v>
      </c>
      <c r="Q33" s="29"/>
      <c r="R33" s="29"/>
      <c r="S33" s="29"/>
      <c r="T33" s="29"/>
      <c r="U33" s="29"/>
      <c r="V33" s="29"/>
    </row>
    <row r="34" spans="1:22" x14ac:dyDescent="0.2">
      <c r="A34" s="10" t="s">
        <v>63</v>
      </c>
      <c r="B34" s="108" t="s">
        <v>172</v>
      </c>
      <c r="C34" s="159">
        <v>48.48</v>
      </c>
      <c r="D34" s="159">
        <v>48.48</v>
      </c>
      <c r="E34" s="159">
        <v>48.48</v>
      </c>
      <c r="F34" s="159">
        <v>48.48</v>
      </c>
      <c r="G34" s="159">
        <v>48.48</v>
      </c>
      <c r="H34" s="159">
        <v>48.48</v>
      </c>
      <c r="I34" s="159">
        <v>48.48</v>
      </c>
      <c r="J34" s="26">
        <f>+K34</f>
        <v>49.97</v>
      </c>
      <c r="K34" s="26">
        <f>+L34</f>
        <v>49.97</v>
      </c>
      <c r="L34" s="26">
        <v>49.97</v>
      </c>
      <c r="M34" s="26">
        <v>49.97</v>
      </c>
      <c r="N34" s="26">
        <v>51.39</v>
      </c>
      <c r="O34" s="26">
        <v>51.39</v>
      </c>
      <c r="P34" s="27">
        <v>51.39</v>
      </c>
      <c r="Q34" s="29"/>
      <c r="R34" s="29"/>
      <c r="S34" s="29"/>
      <c r="T34" s="29"/>
      <c r="U34" s="29"/>
      <c r="V34" s="29"/>
    </row>
    <row r="35" spans="1:22" x14ac:dyDescent="0.2">
      <c r="A35" s="28" t="s">
        <v>178</v>
      </c>
      <c r="B35" s="105" t="s">
        <v>179</v>
      </c>
      <c r="C35" s="160">
        <v>256</v>
      </c>
      <c r="D35" s="160">
        <v>238</v>
      </c>
      <c r="E35" s="160">
        <v>224</v>
      </c>
      <c r="F35" s="160">
        <v>206</v>
      </c>
      <c r="G35" s="160">
        <v>198</v>
      </c>
      <c r="H35" s="160">
        <v>204</v>
      </c>
      <c r="I35" s="160">
        <v>208</v>
      </c>
      <c r="J35" s="29">
        <v>220</v>
      </c>
      <c r="K35" s="29">
        <v>195</v>
      </c>
      <c r="L35" s="29">
        <v>202</v>
      </c>
      <c r="M35" s="29">
        <v>264</v>
      </c>
      <c r="N35" s="29">
        <v>216</v>
      </c>
      <c r="O35" s="29">
        <v>185</v>
      </c>
      <c r="P35" s="29">
        <v>176</v>
      </c>
      <c r="Q35" s="29"/>
      <c r="R35" s="29"/>
      <c r="S35" s="29"/>
      <c r="T35" s="29"/>
      <c r="U35" s="29"/>
      <c r="V35" s="29"/>
    </row>
    <row r="36" spans="1:22" x14ac:dyDescent="0.2">
      <c r="A36" s="11" t="s">
        <v>187</v>
      </c>
      <c r="B36" s="105" t="s">
        <v>141</v>
      </c>
      <c r="C36" s="30">
        <v>2725332</v>
      </c>
      <c r="D36" s="30">
        <v>2668125</v>
      </c>
      <c r="E36" s="30">
        <v>2705464</v>
      </c>
      <c r="F36" s="30">
        <v>2677052</v>
      </c>
      <c r="G36" s="30">
        <v>2577254</v>
      </c>
      <c r="H36" s="30">
        <v>2515945</v>
      </c>
      <c r="I36" s="30">
        <v>2502892</v>
      </c>
      <c r="J36" s="30">
        <v>2414776</v>
      </c>
      <c r="K36" s="30">
        <v>2330778</v>
      </c>
      <c r="L36" s="30">
        <v>2291311</v>
      </c>
      <c r="M36" s="30">
        <v>2237474</v>
      </c>
      <c r="N36" s="30">
        <v>2159741</v>
      </c>
      <c r="O36" s="30">
        <v>2100382</v>
      </c>
      <c r="P36" s="30">
        <v>2056893</v>
      </c>
      <c r="Q36" s="30">
        <v>1979060</v>
      </c>
      <c r="R36" s="29"/>
      <c r="S36" s="29"/>
      <c r="T36" s="29"/>
      <c r="U36" s="29"/>
      <c r="V36" s="29"/>
    </row>
    <row r="37" spans="1:22" x14ac:dyDescent="0.2">
      <c r="A37" s="11" t="s">
        <v>188</v>
      </c>
      <c r="B37" s="105" t="s">
        <v>141</v>
      </c>
      <c r="C37" s="30">
        <v>2722977</v>
      </c>
      <c r="D37" s="30">
        <v>2694138</v>
      </c>
      <c r="E37" s="30">
        <v>2705464</v>
      </c>
      <c r="F37" s="30">
        <v>2572749</v>
      </c>
      <c r="G37" s="30">
        <v>2536807</v>
      </c>
      <c r="H37" s="30">
        <v>2516935</v>
      </c>
      <c r="I37" s="30">
        <v>2502892</v>
      </c>
      <c r="J37" s="30">
        <v>2319240</v>
      </c>
      <c r="K37" s="30">
        <v>2284650</v>
      </c>
      <c r="L37" s="30">
        <v>2258010</v>
      </c>
      <c r="M37" s="30">
        <v>2237474</v>
      </c>
      <c r="N37" s="30">
        <v>2093889</v>
      </c>
      <c r="O37" s="30">
        <v>2069737</v>
      </c>
      <c r="P37" s="30">
        <v>2050005</v>
      </c>
      <c r="Q37" s="30">
        <v>1979060</v>
      </c>
      <c r="R37" s="29"/>
      <c r="S37" s="29"/>
      <c r="T37" s="29"/>
      <c r="U37" s="29"/>
      <c r="V37" s="29"/>
    </row>
    <row r="38" spans="1:22" x14ac:dyDescent="0.2">
      <c r="A38" s="11" t="s">
        <v>189</v>
      </c>
      <c r="B38" s="105" t="s">
        <v>118</v>
      </c>
      <c r="C38" s="30">
        <v>22661579</v>
      </c>
      <c r="D38" s="30">
        <v>22430352</v>
      </c>
      <c r="E38" s="30">
        <v>22345157</v>
      </c>
      <c r="F38" s="30">
        <v>22258220</v>
      </c>
      <c r="G38" s="30">
        <v>22008435</v>
      </c>
      <c r="H38" s="30">
        <v>22043171</v>
      </c>
      <c r="I38" s="30">
        <v>22199993</v>
      </c>
      <c r="J38" s="30">
        <v>22017068</v>
      </c>
      <c r="K38" s="30">
        <v>21871635</v>
      </c>
      <c r="L38" s="30">
        <v>21530095</v>
      </c>
      <c r="M38" s="30">
        <v>21067720</v>
      </c>
      <c r="N38" s="30">
        <v>20799417</v>
      </c>
      <c r="O38" s="30">
        <v>20357446</v>
      </c>
      <c r="P38" s="30">
        <v>19581558</v>
      </c>
      <c r="Q38" s="30">
        <v>15495581</v>
      </c>
      <c r="R38" s="29"/>
      <c r="S38" s="29"/>
      <c r="T38" s="29"/>
      <c r="U38" s="29"/>
      <c r="V38" s="29"/>
    </row>
    <row r="39" spans="1:22" x14ac:dyDescent="0.2">
      <c r="A39" s="11" t="s">
        <v>190</v>
      </c>
      <c r="B39" s="105" t="s">
        <v>118</v>
      </c>
      <c r="C39" s="30">
        <v>22472959</v>
      </c>
      <c r="D39" s="30">
        <v>22393028</v>
      </c>
      <c r="E39" s="30">
        <v>22345157</v>
      </c>
      <c r="F39" s="30">
        <v>22149722</v>
      </c>
      <c r="G39" s="30">
        <v>22076451</v>
      </c>
      <c r="H39" s="30">
        <v>22121825</v>
      </c>
      <c r="I39" s="30">
        <v>22199993</v>
      </c>
      <c r="J39" s="30">
        <v>21595648</v>
      </c>
      <c r="K39" s="30">
        <v>21472522</v>
      </c>
      <c r="L39" s="30">
        <v>21312557</v>
      </c>
      <c r="M39" s="30">
        <v>21067720</v>
      </c>
      <c r="N39" s="30">
        <v>19908177</v>
      </c>
      <c r="O39" s="30">
        <v>19627945</v>
      </c>
      <c r="P39" s="30">
        <v>19269426</v>
      </c>
      <c r="Q39" s="30">
        <v>15495581</v>
      </c>
      <c r="R39" s="29"/>
      <c r="S39" s="29"/>
      <c r="T39" s="29"/>
      <c r="U39" s="29"/>
      <c r="V39" s="29"/>
    </row>
    <row r="40" spans="1:22" x14ac:dyDescent="0.2">
      <c r="B40" s="106"/>
      <c r="C40" s="153"/>
      <c r="D40" s="80"/>
      <c r="E40" s="80"/>
      <c r="F40" s="80"/>
      <c r="G40" s="80"/>
      <c r="H40" s="153"/>
      <c r="I40" s="153"/>
      <c r="R40" s="30"/>
      <c r="S40" s="30"/>
      <c r="T40" s="29"/>
      <c r="U40" s="29"/>
      <c r="V40" s="29"/>
    </row>
    <row r="41" spans="1:22" x14ac:dyDescent="0.2">
      <c r="B41" s="106"/>
      <c r="C41" s="153"/>
      <c r="D41" s="80"/>
      <c r="E41" s="80"/>
      <c r="F41" s="80"/>
      <c r="G41" s="80"/>
      <c r="H41" s="153"/>
      <c r="I41" s="153"/>
      <c r="R41" s="30"/>
      <c r="S41" s="30"/>
      <c r="T41" s="29"/>
      <c r="U41" s="29"/>
      <c r="V41" s="29"/>
    </row>
    <row r="42" spans="1:22" x14ac:dyDescent="0.2">
      <c r="B42" s="106"/>
      <c r="C42" s="153"/>
      <c r="D42" s="80"/>
      <c r="E42" s="80"/>
      <c r="F42" s="80"/>
      <c r="G42" s="80"/>
      <c r="H42" s="153"/>
      <c r="I42" s="153"/>
      <c r="R42" s="30"/>
      <c r="S42" s="30"/>
      <c r="T42" s="29"/>
      <c r="U42" s="29"/>
      <c r="V42" s="29"/>
    </row>
    <row r="43" spans="1:22" x14ac:dyDescent="0.2">
      <c r="A43" s="93" t="s">
        <v>191</v>
      </c>
      <c r="B43" s="109"/>
      <c r="C43" s="165">
        <v>45565</v>
      </c>
      <c r="D43" s="165">
        <v>45473</v>
      </c>
      <c r="E43" s="165">
        <v>45382</v>
      </c>
      <c r="F43" s="165" t="s">
        <v>237</v>
      </c>
      <c r="G43" s="94">
        <v>45199</v>
      </c>
      <c r="H43" s="94">
        <v>45107</v>
      </c>
      <c r="I43" s="94">
        <v>45016</v>
      </c>
      <c r="J43" s="94">
        <v>44926</v>
      </c>
      <c r="K43" s="94">
        <f t="shared" ref="K43:Q43" si="6">+K18</f>
        <v>44834</v>
      </c>
      <c r="L43" s="94">
        <f t="shared" si="6"/>
        <v>44742</v>
      </c>
      <c r="M43" s="94">
        <f t="shared" si="6"/>
        <v>44651</v>
      </c>
      <c r="N43" s="94">
        <f t="shared" si="6"/>
        <v>44561</v>
      </c>
      <c r="O43" s="94">
        <f t="shared" si="6"/>
        <v>44469</v>
      </c>
      <c r="P43" s="94">
        <f t="shared" si="6"/>
        <v>44377</v>
      </c>
      <c r="Q43" s="94">
        <f t="shared" si="6"/>
        <v>44286</v>
      </c>
      <c r="R43" s="94">
        <v>44196</v>
      </c>
      <c r="S43" s="30"/>
      <c r="T43" s="29"/>
      <c r="U43" s="29"/>
      <c r="V43" s="29"/>
    </row>
    <row r="44" spans="1:22" x14ac:dyDescent="0.2">
      <c r="A44" s="11" t="s">
        <v>89</v>
      </c>
      <c r="B44" s="106" t="s">
        <v>120</v>
      </c>
      <c r="C44" s="12">
        <v>410148</v>
      </c>
      <c r="D44" s="12">
        <v>268031</v>
      </c>
      <c r="E44" s="12">
        <v>133527.77151000011</v>
      </c>
      <c r="F44" s="12">
        <v>518569</v>
      </c>
      <c r="G44" s="12">
        <v>384705</v>
      </c>
      <c r="H44" s="12">
        <v>250532</v>
      </c>
      <c r="I44" s="12">
        <v>122912.47058000037</v>
      </c>
      <c r="J44" s="12">
        <v>417285.0513899934</v>
      </c>
      <c r="K44" s="12">
        <v>296851</v>
      </c>
      <c r="L44" s="12">
        <v>188386</v>
      </c>
      <c r="M44" s="12">
        <v>91273.909800000023</v>
      </c>
      <c r="N44" s="13">
        <v>346461</v>
      </c>
      <c r="O44" s="13">
        <v>253637</v>
      </c>
      <c r="P44" s="12">
        <v>162331</v>
      </c>
      <c r="Q44" s="22">
        <v>78448.689420000243</v>
      </c>
      <c r="R44" s="22">
        <v>322559</v>
      </c>
      <c r="S44" s="29"/>
      <c r="T44" s="29"/>
      <c r="U44" s="29"/>
      <c r="V44" s="29"/>
    </row>
    <row r="45" spans="1:22" x14ac:dyDescent="0.2">
      <c r="A45" s="11" t="s">
        <v>90</v>
      </c>
      <c r="B45" s="106" t="s">
        <v>123</v>
      </c>
      <c r="C45" s="12">
        <v>87659</v>
      </c>
      <c r="D45" s="12">
        <v>66846</v>
      </c>
      <c r="E45" s="12">
        <v>23851.284140000003</v>
      </c>
      <c r="F45" s="12">
        <v>115538</v>
      </c>
      <c r="G45" s="12">
        <v>94676</v>
      </c>
      <c r="H45" s="12">
        <v>74005</v>
      </c>
      <c r="I45" s="12">
        <v>14331.357110000004</v>
      </c>
      <c r="J45" s="12">
        <v>104104.36939000005</v>
      </c>
      <c r="K45" s="12">
        <v>84485</v>
      </c>
      <c r="L45" s="12">
        <v>68573</v>
      </c>
      <c r="M45" s="12">
        <v>19655.227310000009</v>
      </c>
      <c r="N45" s="13">
        <v>115554</v>
      </c>
      <c r="O45" s="13">
        <v>85212</v>
      </c>
      <c r="P45" s="12">
        <v>64587</v>
      </c>
      <c r="Q45" s="22">
        <v>21939.412199999995</v>
      </c>
      <c r="R45" s="22">
        <v>104251</v>
      </c>
      <c r="S45" s="29"/>
      <c r="T45" s="29"/>
      <c r="U45" s="29"/>
      <c r="V45" s="29"/>
    </row>
    <row r="46" spans="1:22" x14ac:dyDescent="0.2">
      <c r="A46" s="11" t="s">
        <v>91</v>
      </c>
      <c r="B46" s="106" t="s">
        <v>124</v>
      </c>
      <c r="C46" s="12">
        <v>167701</v>
      </c>
      <c r="D46" s="12">
        <v>112016</v>
      </c>
      <c r="E46" s="12">
        <v>54958.62016000002</v>
      </c>
      <c r="F46" s="12">
        <v>220882</v>
      </c>
      <c r="G46" s="12">
        <v>155176</v>
      </c>
      <c r="H46" s="12">
        <v>105879</v>
      </c>
      <c r="I46" s="12">
        <v>53553.157949999993</v>
      </c>
      <c r="J46" s="12">
        <v>192748.56657000002</v>
      </c>
      <c r="K46" s="12">
        <v>141336</v>
      </c>
      <c r="L46" s="12">
        <v>96620</v>
      </c>
      <c r="M46" s="12">
        <v>50218.960200000001</v>
      </c>
      <c r="N46" s="13">
        <v>192907</v>
      </c>
      <c r="O46" s="13">
        <v>144601</v>
      </c>
      <c r="P46" s="12">
        <v>102837</v>
      </c>
      <c r="Q46" s="22">
        <v>37894.891669999997</v>
      </c>
      <c r="R46" s="22">
        <v>173061</v>
      </c>
    </row>
    <row r="47" spans="1:22" x14ac:dyDescent="0.2">
      <c r="A47" s="14" t="s">
        <v>92</v>
      </c>
      <c r="B47" s="128" t="s">
        <v>133</v>
      </c>
      <c r="C47" s="15">
        <v>330106</v>
      </c>
      <c r="D47" s="15">
        <v>222862</v>
      </c>
      <c r="E47" s="15">
        <v>102420.43549000009</v>
      </c>
      <c r="F47" s="15">
        <v>413226</v>
      </c>
      <c r="G47" s="15">
        <v>324205</v>
      </c>
      <c r="H47" s="15">
        <v>218658</v>
      </c>
      <c r="I47" s="15">
        <v>83690.66974000039</v>
      </c>
      <c r="J47" s="15">
        <v>328640.85420999344</v>
      </c>
      <c r="K47" s="15">
        <v>239999</v>
      </c>
      <c r="L47" s="15">
        <v>160339</v>
      </c>
      <c r="M47" s="15">
        <v>60710.176910000038</v>
      </c>
      <c r="N47" s="16">
        <v>269109</v>
      </c>
      <c r="O47" s="16">
        <v>194247</v>
      </c>
      <c r="P47" s="15">
        <v>124081</v>
      </c>
      <c r="Q47" s="23">
        <v>62493.209950000237</v>
      </c>
      <c r="R47" s="23">
        <v>253749</v>
      </c>
    </row>
    <row r="48" spans="1:22" x14ac:dyDescent="0.2">
      <c r="A48" s="11" t="s">
        <v>93</v>
      </c>
      <c r="B48" s="112"/>
      <c r="C48" s="12">
        <v>32576</v>
      </c>
      <c r="D48" s="12">
        <v>15456</v>
      </c>
      <c r="E48" s="12">
        <v>8576.1349300000038</v>
      </c>
      <c r="F48" s="12">
        <v>36039</v>
      </c>
      <c r="G48" s="12">
        <v>28474</v>
      </c>
      <c r="H48" s="12">
        <v>15785</v>
      </c>
      <c r="I48" s="12">
        <v>6582.912559999977</v>
      </c>
      <c r="J48" s="12">
        <v>18037.003280000001</v>
      </c>
      <c r="K48" s="12">
        <v>10844</v>
      </c>
      <c r="L48" s="12">
        <v>7043</v>
      </c>
      <c r="M48" s="12">
        <v>5164.93090999998</v>
      </c>
      <c r="N48" s="13">
        <v>5089</v>
      </c>
      <c r="O48" s="13">
        <v>-253</v>
      </c>
      <c r="P48" s="12">
        <v>887</v>
      </c>
      <c r="Q48" s="22">
        <v>2505.7314699999988</v>
      </c>
      <c r="R48" s="22">
        <v>30014</v>
      </c>
    </row>
    <row r="49" spans="1:18" x14ac:dyDescent="0.2">
      <c r="A49" s="14" t="s">
        <v>94</v>
      </c>
      <c r="B49" s="111"/>
      <c r="C49" s="15">
        <v>297530</v>
      </c>
      <c r="D49" s="15">
        <v>207406</v>
      </c>
      <c r="E49" s="15">
        <v>93844.300560000091</v>
      </c>
      <c r="F49" s="15">
        <f>+F47-F48</f>
        <v>377187</v>
      </c>
      <c r="G49" s="15">
        <v>295731</v>
      </c>
      <c r="H49" s="15">
        <v>202874</v>
      </c>
      <c r="I49" s="15">
        <v>77107.757180000408</v>
      </c>
      <c r="J49" s="15">
        <v>310604</v>
      </c>
      <c r="K49" s="15">
        <v>229155</v>
      </c>
      <c r="L49" s="15">
        <v>153297</v>
      </c>
      <c r="M49" s="15">
        <v>55545.246000000057</v>
      </c>
      <c r="N49" s="16">
        <v>264019</v>
      </c>
      <c r="O49" s="16">
        <v>194501</v>
      </c>
      <c r="P49" s="15">
        <v>123195</v>
      </c>
      <c r="Q49" s="23">
        <v>59987.478480000238</v>
      </c>
      <c r="R49" s="23">
        <v>223635</v>
      </c>
    </row>
    <row r="50" spans="1:18" x14ac:dyDescent="0.2">
      <c r="A50" s="11" t="s">
        <v>95</v>
      </c>
      <c r="B50" s="106"/>
      <c r="C50" s="12">
        <v>67919</v>
      </c>
      <c r="D50" s="12">
        <v>45824</v>
      </c>
      <c r="E50" s="12">
        <v>22717.78</v>
      </c>
      <c r="F50" s="12">
        <v>84830</v>
      </c>
      <c r="G50" s="12">
        <v>63958</v>
      </c>
      <c r="H50" s="12">
        <v>41636</v>
      </c>
      <c r="I50" s="12">
        <v>18536</v>
      </c>
      <c r="J50" s="12">
        <v>65985</v>
      </c>
      <c r="K50" s="12">
        <v>45680</v>
      </c>
      <c r="L50" s="12">
        <v>27570</v>
      </c>
      <c r="M50" s="12">
        <v>13283</v>
      </c>
      <c r="N50" s="13">
        <v>54520</v>
      </c>
      <c r="O50" s="13">
        <v>39680</v>
      </c>
      <c r="P50" s="12">
        <v>22650</v>
      </c>
      <c r="Q50" s="22">
        <v>14350</v>
      </c>
      <c r="R50" s="22">
        <v>43683</v>
      </c>
    </row>
    <row r="51" spans="1:18" x14ac:dyDescent="0.2">
      <c r="A51" s="17" t="s">
        <v>96</v>
      </c>
      <c r="B51" s="106" t="s">
        <v>135</v>
      </c>
      <c r="C51" s="18">
        <v>229601</v>
      </c>
      <c r="D51" s="18">
        <v>161582</v>
      </c>
      <c r="E51" s="18">
        <v>71126.520560000092</v>
      </c>
      <c r="F51" s="18">
        <f>+F49-F50</f>
        <v>292357</v>
      </c>
      <c r="G51" s="18">
        <v>231773</v>
      </c>
      <c r="H51" s="18">
        <v>161238</v>
      </c>
      <c r="I51" s="18">
        <v>58571.757180000408</v>
      </c>
      <c r="J51" s="18">
        <v>244619</v>
      </c>
      <c r="K51" s="18">
        <v>183475</v>
      </c>
      <c r="L51" s="18">
        <v>125727</v>
      </c>
      <c r="M51" s="18">
        <v>42262.246000000057</v>
      </c>
      <c r="N51" s="19">
        <v>209500</v>
      </c>
      <c r="O51" s="19">
        <v>154821</v>
      </c>
      <c r="P51" s="18">
        <v>100545</v>
      </c>
      <c r="Q51" s="24">
        <v>45637.478480000238</v>
      </c>
      <c r="R51" s="24">
        <v>179953</v>
      </c>
    </row>
    <row r="52" spans="1:18" x14ac:dyDescent="0.2">
      <c r="A52" s="17"/>
      <c r="B52" s="106"/>
      <c r="C52" s="153"/>
      <c r="D52" s="153"/>
      <c r="E52" s="153"/>
      <c r="F52" s="153"/>
      <c r="G52" s="153"/>
      <c r="H52" s="153"/>
      <c r="I52" s="153"/>
      <c r="J52" s="18"/>
      <c r="K52" s="18"/>
      <c r="L52" s="18"/>
      <c r="M52" s="18"/>
      <c r="N52" s="19"/>
      <c r="O52" s="19"/>
      <c r="P52" s="18"/>
      <c r="Q52" s="24"/>
    </row>
    <row r="53" spans="1:18" x14ac:dyDescent="0.2">
      <c r="A53" s="17" t="s">
        <v>204</v>
      </c>
      <c r="B53" s="106"/>
      <c r="C53" s="153"/>
      <c r="D53" s="153"/>
      <c r="E53" s="153"/>
      <c r="F53" s="153"/>
      <c r="G53" s="153"/>
      <c r="H53" s="153"/>
      <c r="I53" s="153"/>
    </row>
    <row r="54" spans="1:18" x14ac:dyDescent="0.2">
      <c r="A54" s="28" t="s">
        <v>115</v>
      </c>
      <c r="B54" s="106"/>
      <c r="C54" s="153"/>
      <c r="D54" s="153"/>
      <c r="E54" s="153"/>
      <c r="F54" s="153"/>
      <c r="G54" s="153"/>
      <c r="H54" s="153"/>
      <c r="I54" s="153"/>
      <c r="J54" s="12"/>
      <c r="K54" s="12"/>
      <c r="L54" s="12"/>
      <c r="M54" s="12"/>
      <c r="N54" s="12"/>
      <c r="O54" s="13"/>
      <c r="P54" s="12"/>
    </row>
    <row r="55" spans="1:18" x14ac:dyDescent="0.2">
      <c r="A55" s="28" t="s">
        <v>116</v>
      </c>
      <c r="B55" s="106" t="s">
        <v>129</v>
      </c>
      <c r="C55" s="154">
        <v>2456</v>
      </c>
      <c r="D55" s="154">
        <v>5594</v>
      </c>
      <c r="E55" s="154">
        <v>4390</v>
      </c>
      <c r="F55" s="154">
        <v>861</v>
      </c>
      <c r="G55" s="154">
        <v>3171</v>
      </c>
      <c r="H55" s="154">
        <v>1000</v>
      </c>
      <c r="I55" s="154">
        <v>-4618</v>
      </c>
      <c r="J55" s="12">
        <v>-17128</v>
      </c>
      <c r="K55" s="12">
        <f>+L55+Grunnlagstall!K14</f>
        <v>-13405</v>
      </c>
      <c r="L55" s="12">
        <f>+M55+Grunnlagstall!L14</f>
        <v>-9146</v>
      </c>
      <c r="M55" s="12">
        <f>+Grunnlagstall!M14</f>
        <v>-1312</v>
      </c>
      <c r="N55" s="12">
        <f>+O55+Grunnlagstall!N14</f>
        <v>1142</v>
      </c>
      <c r="O55" s="12">
        <f>+P55+Grunnlagstall!O14</f>
        <v>2002</v>
      </c>
      <c r="P55" s="12">
        <f>+Q55+Grunnlagstall!P14</f>
        <v>1548</v>
      </c>
      <c r="Q55" s="12">
        <f>+Grunnlagstall!Q14</f>
        <v>2720</v>
      </c>
      <c r="R55" s="28">
        <v>-11968</v>
      </c>
    </row>
    <row r="56" spans="1:18" x14ac:dyDescent="0.2">
      <c r="A56" s="28" t="s">
        <v>136</v>
      </c>
      <c r="B56" s="110" t="s">
        <v>137</v>
      </c>
      <c r="C56" s="154">
        <v>7329</v>
      </c>
      <c r="D56" s="154">
        <v>5381</v>
      </c>
      <c r="E56" s="154">
        <v>2596</v>
      </c>
      <c r="F56" s="154">
        <v>9646</v>
      </c>
      <c r="G56" s="154">
        <v>6953</v>
      </c>
      <c r="H56" s="154">
        <f>2174+H15</f>
        <v>4526</v>
      </c>
      <c r="I56" s="154">
        <v>2174</v>
      </c>
      <c r="J56" s="12">
        <v>6839</v>
      </c>
      <c r="K56" s="12">
        <f>+L56+Grunnlagstall!K15</f>
        <v>4672</v>
      </c>
      <c r="L56" s="12">
        <f>+M56+Grunnlagstall!L15</f>
        <v>2758</v>
      </c>
      <c r="M56" s="12">
        <f>+Grunnlagstall!M15</f>
        <v>1437</v>
      </c>
      <c r="N56" s="12">
        <f>+Grunnlagstall!N15+Grunnlagstall!O56</f>
        <v>5533</v>
      </c>
      <c r="O56" s="12">
        <f>+Grunnlagstall!O15+Grunnlagstall!P56</f>
        <v>4073</v>
      </c>
      <c r="P56" s="12">
        <f>+Grunnlagstall!P15+Grunnlagstall!Q56</f>
        <v>2730</v>
      </c>
      <c r="Q56" s="31">
        <f>+Grunnlagstall!Q15</f>
        <v>1321</v>
      </c>
      <c r="R56" s="28">
        <v>6447</v>
      </c>
    </row>
    <row r="57" spans="1:18" x14ac:dyDescent="0.2">
      <c r="B57" s="95"/>
      <c r="C57" s="95"/>
      <c r="D57" s="95"/>
      <c r="E57" s="95"/>
      <c r="F57" s="95"/>
      <c r="H57" s="95"/>
      <c r="I57" s="95"/>
    </row>
    <row r="58" spans="1:18" x14ac:dyDescent="0.2">
      <c r="B58" s="95"/>
      <c r="C58" s="95"/>
      <c r="D58" s="95"/>
      <c r="E58" s="95"/>
      <c r="F58" s="95"/>
      <c r="H58" s="95"/>
      <c r="I58" s="95"/>
    </row>
    <row r="61" spans="1:18" x14ac:dyDescent="0.2">
      <c r="A61" s="28"/>
    </row>
    <row r="62" spans="1:18" x14ac:dyDescent="0.2">
      <c r="A62" s="28"/>
    </row>
    <row r="63" spans="1:18" x14ac:dyDescent="0.2">
      <c r="A63" s="10"/>
    </row>
    <row r="64" spans="1:18" x14ac:dyDescent="0.2">
      <c r="A64" s="28"/>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3A608-7C37-4503-8508-9332D7322282}">
  <dimension ref="A1:E34"/>
  <sheetViews>
    <sheetView zoomScaleNormal="100" workbookViewId="0">
      <selection activeCell="A6" sqref="A6"/>
    </sheetView>
  </sheetViews>
  <sheetFormatPr baseColWidth="10" defaultRowHeight="12.75" x14ac:dyDescent="0.2"/>
  <cols>
    <col min="1" max="1" width="61.85546875" style="126" bestFit="1" customWidth="1"/>
    <col min="2" max="3" width="25.85546875" customWidth="1"/>
    <col min="4" max="5" width="11.140625" style="28" customWidth="1"/>
  </cols>
  <sheetData>
    <row r="1" spans="1:5" ht="25.5" customHeight="1" x14ac:dyDescent="0.25">
      <c r="A1" s="33" t="s">
        <v>216</v>
      </c>
      <c r="B1" s="141"/>
      <c r="C1" s="141"/>
      <c r="D1" s="34"/>
      <c r="E1" s="35"/>
    </row>
    <row r="2" spans="1:5" ht="25.5" customHeight="1" thickBot="1" x14ac:dyDescent="0.3">
      <c r="A2" s="136" t="s">
        <v>217</v>
      </c>
      <c r="B2" s="114"/>
      <c r="C2" s="37"/>
      <c r="D2" s="38"/>
      <c r="E2" s="39"/>
    </row>
    <row r="3" spans="1:5" ht="22.5" customHeight="1" x14ac:dyDescent="0.2">
      <c r="A3" s="40" t="s">
        <v>194</v>
      </c>
      <c r="B3" s="113" t="s">
        <v>122</v>
      </c>
      <c r="C3" s="133">
        <v>44926</v>
      </c>
      <c r="D3" s="129">
        <v>44561</v>
      </c>
      <c r="E3" s="130">
        <v>44196</v>
      </c>
    </row>
    <row r="4" spans="1:5" x14ac:dyDescent="0.2">
      <c r="A4" s="79"/>
      <c r="B4" s="84"/>
      <c r="C4" s="132"/>
      <c r="D4" s="80"/>
      <c r="E4" s="81"/>
    </row>
    <row r="5" spans="1:5" x14ac:dyDescent="0.2">
      <c r="A5" s="41" t="s">
        <v>197</v>
      </c>
      <c r="B5" s="63" t="s">
        <v>117</v>
      </c>
      <c r="C5" s="42">
        <v>365</v>
      </c>
      <c r="D5" s="42">
        <f>31+30+31+273</f>
        <v>365</v>
      </c>
      <c r="E5" s="43">
        <v>365</v>
      </c>
    </row>
    <row r="6" spans="1:5" x14ac:dyDescent="0.2">
      <c r="A6" s="137" t="s">
        <v>185</v>
      </c>
      <c r="B6" s="138" t="s">
        <v>214</v>
      </c>
      <c r="C6" s="139">
        <f>+(Grunnlagstall!J24+Grunnlagstall!N24)/2</f>
        <v>21408829.773985017</v>
      </c>
      <c r="D6" s="139">
        <f>+(Grunnlagstall!N24+Grunnlagstall!R24)/2</f>
        <v>19750591.846355014</v>
      </c>
      <c r="E6" s="142">
        <f>+(Grunnlagstall!R24+Grunnlagstall!V24)/2</f>
        <v>17861636.146355014</v>
      </c>
    </row>
    <row r="7" spans="1:5" x14ac:dyDescent="0.2">
      <c r="A7" s="44" t="s">
        <v>196</v>
      </c>
      <c r="B7" s="64" t="s">
        <v>119</v>
      </c>
      <c r="C7" s="45">
        <f>+Grunnlagstall!J27</f>
        <v>90</v>
      </c>
      <c r="D7" s="45">
        <f>+Grunnlagstall!N27</f>
        <v>89</v>
      </c>
      <c r="E7" s="46">
        <f>+Grunnlagstall!O27</f>
        <v>90</v>
      </c>
    </row>
    <row r="8" spans="1:5" x14ac:dyDescent="0.2">
      <c r="A8" s="44"/>
      <c r="B8" s="64"/>
      <c r="C8" s="131"/>
      <c r="D8" s="45"/>
      <c r="E8" s="46"/>
    </row>
    <row r="9" spans="1:5" x14ac:dyDescent="0.2">
      <c r="A9" s="47" t="s">
        <v>192</v>
      </c>
      <c r="B9" s="65" t="s">
        <v>120</v>
      </c>
      <c r="C9" s="48">
        <f>+Grunnlagstall!J44</f>
        <v>417285.0513899934</v>
      </c>
      <c r="D9" s="48">
        <f>+Grunnlagstall!N44</f>
        <v>346461</v>
      </c>
      <c r="E9" s="49">
        <f>+Grunnlagstall!R44</f>
        <v>322559</v>
      </c>
    </row>
    <row r="10" spans="1:5" x14ac:dyDescent="0.2">
      <c r="A10" s="47" t="s">
        <v>195</v>
      </c>
      <c r="B10" s="66" t="s">
        <v>121</v>
      </c>
      <c r="C10" s="50">
        <f>+C9*365/C$5/C$6</f>
        <v>1.9491259251220642E-2</v>
      </c>
      <c r="D10" s="50">
        <f t="shared" ref="D10:E10" si="0">+D9*365/D$5/D$6</f>
        <v>1.7541803440383464E-2</v>
      </c>
      <c r="E10" s="51">
        <f t="shared" si="0"/>
        <v>1.8058759979041668E-2</v>
      </c>
    </row>
    <row r="11" spans="1:5" x14ac:dyDescent="0.2">
      <c r="A11" s="44"/>
      <c r="B11" s="64"/>
      <c r="C11" s="131"/>
      <c r="D11" s="42"/>
      <c r="E11" s="43"/>
    </row>
    <row r="12" spans="1:5" x14ac:dyDescent="0.2">
      <c r="A12" s="44" t="s">
        <v>90</v>
      </c>
      <c r="B12" s="64" t="s">
        <v>123</v>
      </c>
      <c r="C12" s="45">
        <f>+Grunnlagstall!J45</f>
        <v>104104.36939000005</v>
      </c>
      <c r="D12" s="45">
        <f>+Grunnlagstall!N45</f>
        <v>115554</v>
      </c>
      <c r="E12" s="46">
        <f>+Grunnlagstall!R45</f>
        <v>104251</v>
      </c>
    </row>
    <row r="13" spans="1:5" x14ac:dyDescent="0.2">
      <c r="A13" s="44" t="s">
        <v>73</v>
      </c>
      <c r="B13" s="67" t="s">
        <v>125</v>
      </c>
      <c r="C13" s="52">
        <f>+C12*365/C$5/C$6</f>
        <v>4.8626837846365003E-3</v>
      </c>
      <c r="D13" s="52">
        <f t="shared" ref="D13:E13" si="1">+D12*365/D$5/D$6</f>
        <v>5.850660116867616E-3</v>
      </c>
      <c r="E13" s="53">
        <f t="shared" si="1"/>
        <v>5.8365873733954811E-3</v>
      </c>
    </row>
    <row r="14" spans="1:5" x14ac:dyDescent="0.2">
      <c r="A14" s="44"/>
      <c r="B14" s="64"/>
      <c r="C14" s="42"/>
      <c r="D14" s="42"/>
      <c r="E14" s="43"/>
    </row>
    <row r="15" spans="1:5" x14ac:dyDescent="0.2">
      <c r="A15" s="47" t="s">
        <v>91</v>
      </c>
      <c r="B15" s="65" t="s">
        <v>124</v>
      </c>
      <c r="C15" s="48">
        <f>+Grunnlagstall!J46</f>
        <v>192748.56657000002</v>
      </c>
      <c r="D15" s="48">
        <f>+Grunnlagstall!N46</f>
        <v>192907</v>
      </c>
      <c r="E15" s="49">
        <f>+Grunnlagstall!R46</f>
        <v>173061</v>
      </c>
    </row>
    <row r="16" spans="1:5" x14ac:dyDescent="0.2">
      <c r="A16" s="47" t="s">
        <v>74</v>
      </c>
      <c r="B16" s="66" t="s">
        <v>126</v>
      </c>
      <c r="C16" s="50">
        <f>+C15*365/C$5/C$6</f>
        <v>9.0032275750176159E-3</v>
      </c>
      <c r="D16" s="50">
        <f t="shared" ref="D16:E16" si="2">+D15*365/D$5/D$6</f>
        <v>9.7671503467173879E-3</v>
      </c>
      <c r="E16" s="51">
        <f t="shared" si="2"/>
        <v>9.6889780186971385E-3</v>
      </c>
    </row>
    <row r="17" spans="1:5" x14ac:dyDescent="0.2">
      <c r="A17" s="44"/>
      <c r="B17" s="64"/>
      <c r="C17" s="42"/>
      <c r="D17" s="42"/>
      <c r="E17" s="43"/>
    </row>
    <row r="18" spans="1:5" x14ac:dyDescent="0.2">
      <c r="A18" s="44"/>
      <c r="B18" s="64"/>
      <c r="C18" s="42"/>
      <c r="D18" s="42"/>
      <c r="E18" s="43"/>
    </row>
    <row r="19" spans="1:5" x14ac:dyDescent="0.2">
      <c r="A19" s="44" t="str">
        <f>+Grunnlagstall!A6</f>
        <v>Driftsresultat før tap og nedskrivninger</v>
      </c>
      <c r="B19" s="64" t="s">
        <v>133</v>
      </c>
      <c r="C19" s="45">
        <f>+Grunnlagstall!J47</f>
        <v>328640.85420999344</v>
      </c>
      <c r="D19" s="45">
        <f>+Grunnlagstall!N47</f>
        <v>269109</v>
      </c>
      <c r="E19" s="46">
        <f>+Grunnlagstall!O47</f>
        <v>194247</v>
      </c>
    </row>
    <row r="20" spans="1:5" x14ac:dyDescent="0.2">
      <c r="A20" s="44" t="s">
        <v>131</v>
      </c>
      <c r="B20" s="67" t="s">
        <v>215</v>
      </c>
      <c r="C20" s="52">
        <f>+C19*365/C$5/C$6</f>
        <v>1.5350715460839529E-2</v>
      </c>
      <c r="D20" s="52">
        <f t="shared" ref="D20:E20" si="3">+D19*365/D$5/D$6</f>
        <v>1.3625363841927819E-2</v>
      </c>
      <c r="E20" s="53">
        <f t="shared" si="3"/>
        <v>1.0875095562823877E-2</v>
      </c>
    </row>
    <row r="21" spans="1:5" x14ac:dyDescent="0.2">
      <c r="A21" s="44"/>
      <c r="B21" s="64"/>
      <c r="C21" s="42"/>
      <c r="D21" s="42"/>
      <c r="E21" s="43"/>
    </row>
    <row r="22" spans="1:5" x14ac:dyDescent="0.2">
      <c r="A22" s="70" t="str">
        <f>+Grunnlagstall!A10</f>
        <v>Resultat av ordinær drift etter skatt</v>
      </c>
      <c r="B22" s="65" t="s">
        <v>135</v>
      </c>
      <c r="C22" s="48">
        <f>+Grunnlagstall!J51</f>
        <v>244619</v>
      </c>
      <c r="D22" s="48">
        <f>+Grunnlagstall!N51</f>
        <v>209500</v>
      </c>
      <c r="E22" s="49">
        <f>+Grunnlagstall!R51</f>
        <v>179953</v>
      </c>
    </row>
    <row r="23" spans="1:5" x14ac:dyDescent="0.2">
      <c r="A23" s="70" t="s">
        <v>136</v>
      </c>
      <c r="B23" s="65" t="s">
        <v>137</v>
      </c>
      <c r="C23" s="48">
        <f>+Grunnlagstall!J56</f>
        <v>6839</v>
      </c>
      <c r="D23" s="48">
        <f>+Grunnlagstall!N56</f>
        <v>5533</v>
      </c>
      <c r="E23" s="49">
        <f>+Grunnlagstall!R56</f>
        <v>6447</v>
      </c>
    </row>
    <row r="24" spans="1:5" x14ac:dyDescent="0.2">
      <c r="A24" s="70" t="s">
        <v>138</v>
      </c>
      <c r="B24" s="66" t="s">
        <v>140</v>
      </c>
      <c r="C24" s="48">
        <f>+C22-C23</f>
        <v>237780</v>
      </c>
      <c r="D24" s="48">
        <f>+D22-D23</f>
        <v>203967</v>
      </c>
      <c r="E24" s="49">
        <f t="shared" ref="E24" si="4">+E22-E23</f>
        <v>173506</v>
      </c>
    </row>
    <row r="25" spans="1:5" x14ac:dyDescent="0.2">
      <c r="A25" s="140" t="s">
        <v>105</v>
      </c>
      <c r="B25" s="138" t="s">
        <v>214</v>
      </c>
      <c r="C25" s="139">
        <f>+(Grunnlagstall!J23+Grunnlagstall!N23)/2</f>
        <v>2337128.7069800049</v>
      </c>
      <c r="D25" s="139">
        <f>+(Grunnlagstall!N23+Grunnlagstall!R23)/2</f>
        <v>2111719.0300500058</v>
      </c>
      <c r="E25" s="142">
        <f>+(Grunnlagstall!R23+Grunnlagstall!V23)/2</f>
        <v>1969913.1735900012</v>
      </c>
    </row>
    <row r="26" spans="1:5" x14ac:dyDescent="0.2">
      <c r="A26" s="140" t="s">
        <v>139</v>
      </c>
      <c r="B26" s="138" t="s">
        <v>214</v>
      </c>
      <c r="C26" s="139">
        <f>+(Grunnlagstall!J30+Grunnlagstall!N30)/2</f>
        <v>125000</v>
      </c>
      <c r="D26" s="139">
        <f>+(Grunnlagstall!N30+Grunnlagstall!Q30)/2</f>
        <v>134000</v>
      </c>
      <c r="E26" s="142">
        <f>+Grunnlagstall!Q30</f>
        <v>143000</v>
      </c>
    </row>
    <row r="27" spans="1:5" x14ac:dyDescent="0.2">
      <c r="A27" s="70" t="s">
        <v>143</v>
      </c>
      <c r="B27" s="66" t="s">
        <v>144</v>
      </c>
      <c r="C27" s="48">
        <f>+C25-C26</f>
        <v>2212128.7069800049</v>
      </c>
      <c r="D27" s="48">
        <f t="shared" ref="D27:E27" si="5">+D25-D26</f>
        <v>1977719.0300500058</v>
      </c>
      <c r="E27" s="49">
        <f t="shared" si="5"/>
        <v>1826913.1735900012</v>
      </c>
    </row>
    <row r="28" spans="1:5" x14ac:dyDescent="0.2">
      <c r="A28" s="70" t="s">
        <v>77</v>
      </c>
      <c r="B28" s="66" t="s">
        <v>145</v>
      </c>
      <c r="C28" s="71">
        <f>+(C24*365/C5)/C27</f>
        <v>0.10748922485826647</v>
      </c>
      <c r="D28" s="71">
        <f>+(D24*365/D5)/D27</f>
        <v>0.10313244545907149</v>
      </c>
      <c r="E28" s="72">
        <f>+(E24*365/E5)/E27</f>
        <v>9.4972220085889264E-2</v>
      </c>
    </row>
    <row r="29" spans="1:5" x14ac:dyDescent="0.2">
      <c r="A29" s="44"/>
      <c r="B29" s="64"/>
      <c r="C29" s="42"/>
      <c r="D29" s="42"/>
      <c r="E29" s="43"/>
    </row>
    <row r="30" spans="1:5" x14ac:dyDescent="0.2">
      <c r="A30" s="41" t="s">
        <v>96</v>
      </c>
      <c r="B30" s="64" t="s">
        <v>135</v>
      </c>
      <c r="C30" s="45">
        <f>+Grunnlagstall!J51</f>
        <v>244619</v>
      </c>
      <c r="D30" s="45">
        <f>+Grunnlagstall!N51</f>
        <v>209500</v>
      </c>
      <c r="E30" s="46">
        <f>+Grunnlagstall!R51</f>
        <v>179953</v>
      </c>
    </row>
    <row r="31" spans="1:5" x14ac:dyDescent="0.2">
      <c r="A31" s="140" t="s">
        <v>105</v>
      </c>
      <c r="B31" s="138" t="s">
        <v>214</v>
      </c>
      <c r="C31" s="139">
        <f>+C25</f>
        <v>2337128.7069800049</v>
      </c>
      <c r="D31" s="139">
        <f t="shared" ref="D31:E31" si="6">+D25</f>
        <v>2111719.0300500058</v>
      </c>
      <c r="E31" s="142">
        <f t="shared" si="6"/>
        <v>1969913.1735900012</v>
      </c>
    </row>
    <row r="32" spans="1:5" x14ac:dyDescent="0.2">
      <c r="A32" s="41" t="s">
        <v>78</v>
      </c>
      <c r="B32" s="67" t="s">
        <v>146</v>
      </c>
      <c r="C32" s="52">
        <f>+(C30*365/C5)/C31</f>
        <v>0.10466646499588472</v>
      </c>
      <c r="D32" s="52">
        <f>+(D30*365/D5)/D31</f>
        <v>9.9208273931707197E-2</v>
      </c>
      <c r="E32" s="53">
        <f>+(E30*365/E5)/E31</f>
        <v>9.1350726728757686E-2</v>
      </c>
    </row>
    <row r="33" spans="1:5" x14ac:dyDescent="0.2">
      <c r="A33" s="41"/>
      <c r="B33" s="64"/>
      <c r="C33" s="42"/>
      <c r="D33" s="42"/>
      <c r="E33" s="43"/>
    </row>
    <row r="34" spans="1:5" ht="13.5" thickBot="1" x14ac:dyDescent="0.25">
      <c r="A34" s="143" t="s">
        <v>218</v>
      </c>
      <c r="B34" s="144"/>
      <c r="C34" s="144"/>
      <c r="D34" s="145"/>
      <c r="E34" s="146"/>
    </row>
  </sheetData>
  <pageMargins left="0.7" right="0.7" top="0.75" bottom="0.75" header="0.3" footer="0.3"/>
  <pageSetup paperSize="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1296D38A24A0CC448FD3A4EE16A0CD60" ma:contentTypeVersion="15" ma:contentTypeDescription="Opprett et nytt dokument." ma:contentTypeScope="" ma:versionID="59118dc0f43af76c66be5e6a49e979ba">
  <xsd:schema xmlns:xsd="http://www.w3.org/2001/XMLSchema" xmlns:xs="http://www.w3.org/2001/XMLSchema" xmlns:p="http://schemas.microsoft.com/office/2006/metadata/properties" xmlns:ns2="fb01cd13-81db-4f45-a94a-b394074e628f" xmlns:ns3="f21bf4a2-3968-4be7-9da3-42eadb3ee517" targetNamespace="http://schemas.microsoft.com/office/2006/metadata/properties" ma:root="true" ma:fieldsID="7b227a68a68983534ae404298d3a2c2e" ns2:_="" ns3:_="">
    <xsd:import namespace="fb01cd13-81db-4f45-a94a-b394074e628f"/>
    <xsd:import namespace="f21bf4a2-3968-4be7-9da3-42eadb3ee51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Location" minOccurs="0"/>
                <xsd:element ref="ns3:MediaServiceGenerationTime" minOccurs="0"/>
                <xsd:element ref="ns3:MediaServiceEventHashCode" minOccurs="0"/>
                <xsd:element ref="ns3:MediaLengthInSeconds" minOccurs="0"/>
                <xsd:element ref="ns3:MediaServiceOCR"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b01cd13-81db-4f45-a94a-b394074e628f" elementFormDefault="qualified">
    <xsd:import namespace="http://schemas.microsoft.com/office/2006/documentManagement/types"/>
    <xsd:import namespace="http://schemas.microsoft.com/office/infopath/2007/PartnerControls"/>
    <xsd:element name="SharedWithUsers" ma:index="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lingsdetaljer" ma:internalName="SharedWithDetails" ma:readOnly="true">
      <xsd:simpleType>
        <xsd:restriction base="dms:Note">
          <xsd:maxLength value="255"/>
        </xsd:restriction>
      </xsd:simpleType>
    </xsd:element>
    <xsd:element name="TaxCatchAll" ma:index="14" nillable="true" ma:displayName="Taxonomy Catch All Column" ma:hidden="true" ma:list="{04feca78-7598-42cf-b92a-db41d384243d}" ma:internalName="TaxCatchAll" ma:showField="CatchAllData" ma:web="fb01cd13-81db-4f45-a94a-b394074e628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21bf4a2-3968-4be7-9da3-42eadb3ee51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ildemerkelapper" ma:readOnly="false" ma:fieldId="{5cf76f15-5ced-4ddc-b409-7134ff3c332f}" ma:taxonomyMulti="true" ma:sspId="06604d7d-b179-40e3-9457-2227251b16fc"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21bf4a2-3968-4be7-9da3-42eadb3ee517">
      <Terms xmlns="http://schemas.microsoft.com/office/infopath/2007/PartnerControls"/>
    </lcf76f155ced4ddcb4097134ff3c332f>
    <TaxCatchAll xmlns="fb01cd13-81db-4f45-a94a-b394074e628f" xsi:nil="true"/>
  </documentManagement>
</p:properties>
</file>

<file path=customXml/itemProps1.xml><?xml version="1.0" encoding="utf-8"?>
<ds:datastoreItem xmlns:ds="http://schemas.openxmlformats.org/officeDocument/2006/customXml" ds:itemID="{AD397546-7E07-4544-A258-8BA12F6A87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b01cd13-81db-4f45-a94a-b394074e628f"/>
    <ds:schemaRef ds:uri="f21bf4a2-3968-4be7-9da3-42eadb3ee5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152AB3-7F3C-465E-B0DE-E1813F3A1F76}">
  <ds:schemaRefs>
    <ds:schemaRef ds:uri="http://schemas.microsoft.com/sharepoint/v3/contenttype/forms"/>
  </ds:schemaRefs>
</ds:datastoreItem>
</file>

<file path=customXml/itemProps3.xml><?xml version="1.0" encoding="utf-8"?>
<ds:datastoreItem xmlns:ds="http://schemas.openxmlformats.org/officeDocument/2006/customXml" ds:itemID="{7BB18B5E-40F9-45AC-840E-4091580407D5}">
  <ds:schemaRefs>
    <ds:schemaRef ds:uri="http://schemas.microsoft.com/office/2006/metadata/properties"/>
    <ds:schemaRef ds:uri="http://schemas.microsoft.com/office/infopath/2007/PartnerControls"/>
    <ds:schemaRef ds:uri="f21bf4a2-3968-4be7-9da3-42eadb3ee517"/>
    <ds:schemaRef ds:uri="fb01cd13-81db-4f45-a94a-b394074e628f"/>
  </ds:schemaRefs>
</ds:datastoreItem>
</file>

<file path=docMetadata/LabelInfo.xml><?xml version="1.0" encoding="utf-8"?>
<clbl:labelList xmlns:clbl="http://schemas.microsoft.com/office/2020/mipLabelMetadata">
  <clbl:label id="{210f7242-1640-41a4-9c4f-28b1303f2cda}" enabled="0" method="" siteId="{210f7242-1640-41a4-9c4f-28b1303f2cda}"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5</vt:i4>
      </vt:variant>
    </vt:vector>
  </HeadingPairs>
  <TitlesOfParts>
    <vt:vector size="5" baseType="lpstr">
      <vt:lpstr>Definsjoner</vt:lpstr>
      <vt:lpstr>Avsteming nøkkeltall kvartal</vt:lpstr>
      <vt:lpstr>Utregninger hittil i år</vt:lpstr>
      <vt:lpstr>Grunnlagstall</vt:lpstr>
      <vt:lpstr>Utregninger år samgrl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Evensen Erik E.(Totens Sparebank)</dc:creator>
  <cp:lastModifiedBy>Evensen Erik E.(Totens Sparebank)</cp:lastModifiedBy>
  <cp:lastPrinted>2022-09-26T10:55:18Z</cp:lastPrinted>
  <dcterms:created xsi:type="dcterms:W3CDTF">2019-05-22T07:51:30Z</dcterms:created>
  <dcterms:modified xsi:type="dcterms:W3CDTF">2024-11-18T11:43:57Z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0x0101001296D38A24A0CC448FD3A4EE16A0CD60</vt:lpwstr>
  </property>
  <property fmtid="{D5CDD505-2E9C-101B-9397-08002B2CF9AE}" pid="3" name="Order">
    <vt:r8>100</vt:r8>
  </property>
  <property fmtid="{D5CDD505-2E9C-101B-9397-08002B2CF9AE}" pid="4" name="MediaServiceImageTags">
    <vt:lpwstr/>
  </property>
</Properties>
</file>